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externalLinks/externalLink7.xml" ContentType="application/vnd.openxmlformats-officedocument.spreadsheetml.externalLink+xml"/>
  <Override PartName="/xl/comments3.xml" ContentType="application/vnd.openxmlformats-officedocument.spreadsheetml.comments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6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350" windowHeight="7485" tabRatio="948"/>
  </bookViews>
  <sheets>
    <sheet name="Revenue Summary" sheetId="15" r:id="rId1"/>
    <sheet name="Cust Count Summary" sheetId="22" r:id="rId2"/>
    <sheet name="Unit Counts" sheetId="24" r:id="rId3"/>
    <sheet name="Spokane Reg - Price out" sheetId="1" r:id="rId4"/>
    <sheet name="Whitman Reg - Price Out" sheetId="2" r:id="rId5"/>
    <sheet name="Army Non-Reg - Price Out" sheetId="3" r:id="rId6"/>
    <sheet name="Harrington Non-Reg - Price Out" sheetId="8" r:id="rId7"/>
    <sheet name="Latah Co Non-Reg - Price Out" sheetId="9" r:id="rId8"/>
    <sheet name="Rockford Non-Reg - Price Out" sheetId="10" r:id="rId9"/>
    <sheet name="Spangle Non-Reg - Price Out" sheetId="11" r:id="rId10"/>
    <sheet name="Starbuck Non-Reg - Price Out" sheetId="13" r:id="rId11"/>
    <sheet name="Tekoa Non-Reg - Price Out" sheetId="14" r:id="rId12"/>
    <sheet name="IS 210 Jul-Sep" sheetId="32" r:id="rId13"/>
    <sheet name="IS 210 Oct-Dec" sheetId="33" r:id="rId14"/>
    <sheet name="IS 210 Jan-Mar" sheetId="34" r:id="rId15"/>
    <sheet name="IS 210 Apr-Jun" sheetId="35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ACT1" localSheetId="5">[2]Hidden!#REF!</definedName>
    <definedName name="_ACT1" localSheetId="6">[2]Hidden!#REF!</definedName>
    <definedName name="_ACT1" localSheetId="7">[2]Hidden!#REF!</definedName>
    <definedName name="_ACT1" localSheetId="0">[2]Hidden!#REF!</definedName>
    <definedName name="_ACT1" localSheetId="8">[2]Hidden!#REF!</definedName>
    <definedName name="_ACT1" localSheetId="9">[2]Hidden!#REF!</definedName>
    <definedName name="_ACT1" localSheetId="10">[2]Hidden!#REF!</definedName>
    <definedName name="_ACT1" localSheetId="11">[2]Hidden!#REF!</definedName>
    <definedName name="_ACT1" localSheetId="4">[2]Hidden!#REF!</definedName>
    <definedName name="_ACT1">[2]Hidden!#REF!</definedName>
    <definedName name="_ACT2" localSheetId="5">[2]Hidden!#REF!</definedName>
    <definedName name="_ACT2" localSheetId="6">[2]Hidden!#REF!</definedName>
    <definedName name="_ACT2" localSheetId="7">[2]Hidden!#REF!</definedName>
    <definedName name="_ACT2" localSheetId="0">[2]Hidden!#REF!</definedName>
    <definedName name="_ACT2" localSheetId="8">[2]Hidden!#REF!</definedName>
    <definedName name="_ACT2" localSheetId="9">[2]Hidden!#REF!</definedName>
    <definedName name="_ACT2" localSheetId="10">[2]Hidden!#REF!</definedName>
    <definedName name="_ACT2" localSheetId="11">[2]Hidden!#REF!</definedName>
    <definedName name="_ACT2" localSheetId="4">[2]Hidden!#REF!</definedName>
    <definedName name="_ACT2">[2]Hidden!#REF!</definedName>
    <definedName name="_ACT3" localSheetId="5">[2]Hidden!#REF!</definedName>
    <definedName name="_ACT3" localSheetId="6">[2]Hidden!#REF!</definedName>
    <definedName name="_ACT3" localSheetId="7">[2]Hidden!#REF!</definedName>
    <definedName name="_ACT3" localSheetId="0">[2]Hidden!#REF!</definedName>
    <definedName name="_ACT3" localSheetId="8">[2]Hidden!#REF!</definedName>
    <definedName name="_ACT3" localSheetId="9">[2]Hidden!#REF!</definedName>
    <definedName name="_ACT3" localSheetId="10">[2]Hidden!#REF!</definedName>
    <definedName name="_ACT3" localSheetId="11">[2]Hidden!#REF!</definedName>
    <definedName name="_ACT3" localSheetId="4">[2]Hidden!#REF!</definedName>
    <definedName name="_ACT3">[2]Hidden!#REF!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LYA12">[1]Hidden!$O$11</definedName>
    <definedName name="ACCT" localSheetId="5">[2]Hidden!#REF!</definedName>
    <definedName name="ACCT" localSheetId="6">[2]Hidden!#REF!</definedName>
    <definedName name="ACCT" localSheetId="7">[2]Hidden!#REF!</definedName>
    <definedName name="ACCT" localSheetId="0">[2]Hidden!#REF!</definedName>
    <definedName name="ACCT" localSheetId="8">[2]Hidden!#REF!</definedName>
    <definedName name="ACCT" localSheetId="9">[2]Hidden!#REF!</definedName>
    <definedName name="ACCT" localSheetId="10">[2]Hidden!#REF!</definedName>
    <definedName name="ACCT" localSheetId="11">[2]Hidden!#REF!</definedName>
    <definedName name="ACCT" localSheetId="4">[2]Hidden!#REF!</definedName>
    <definedName name="ACCT">[2]Hidden!#REF!</definedName>
    <definedName name="ACCT.ConsolSum">[1]Hidden!$Q$11</definedName>
    <definedName name="ACT_CUR" localSheetId="5">[2]Hidden!#REF!</definedName>
    <definedName name="ACT_CUR" localSheetId="6">[2]Hidden!#REF!</definedName>
    <definedName name="ACT_CUR" localSheetId="7">[2]Hidden!#REF!</definedName>
    <definedName name="ACT_CUR" localSheetId="0">[2]Hidden!#REF!</definedName>
    <definedName name="ACT_CUR" localSheetId="8">[2]Hidden!#REF!</definedName>
    <definedName name="ACT_CUR" localSheetId="9">[2]Hidden!#REF!</definedName>
    <definedName name="ACT_CUR" localSheetId="10">[2]Hidden!#REF!</definedName>
    <definedName name="ACT_CUR" localSheetId="11">[2]Hidden!#REF!</definedName>
    <definedName name="ACT_CUR" localSheetId="4">[2]Hidden!#REF!</definedName>
    <definedName name="ACT_CUR">[2]Hidden!#REF!</definedName>
    <definedName name="ACT_YTD" localSheetId="5">[2]Hidden!#REF!</definedName>
    <definedName name="ACT_YTD" localSheetId="6">[2]Hidden!#REF!</definedName>
    <definedName name="ACT_YTD" localSheetId="7">[2]Hidden!#REF!</definedName>
    <definedName name="ACT_YTD" localSheetId="0">[2]Hidden!#REF!</definedName>
    <definedName name="ACT_YTD" localSheetId="8">[2]Hidden!#REF!</definedName>
    <definedName name="ACT_YTD" localSheetId="9">[2]Hidden!#REF!</definedName>
    <definedName name="ACT_YTD" localSheetId="10">[2]Hidden!#REF!</definedName>
    <definedName name="ACT_YTD" localSheetId="11">[2]Hidden!#REF!</definedName>
    <definedName name="ACT_YTD" localSheetId="4">[2]Hidden!#REF!</definedName>
    <definedName name="ACT_YTD">[2]Hidden!#REF!</definedName>
    <definedName name="AmountCount" localSheetId="5">#REF!</definedName>
    <definedName name="AmountCount" localSheetId="6">#REF!</definedName>
    <definedName name="AmountCount" localSheetId="7">#REF!</definedName>
    <definedName name="AmountCount" localSheetId="8">#REF!</definedName>
    <definedName name="AmountCount" localSheetId="9">#REF!</definedName>
    <definedName name="AmountCount" localSheetId="10">#REF!</definedName>
    <definedName name="AmountCount" localSheetId="11">#REF!</definedName>
    <definedName name="AmountCount" localSheetId="4">#REF!</definedName>
    <definedName name="AmountCount">#REF!</definedName>
    <definedName name="AmountTotal" localSheetId="5">#REF!</definedName>
    <definedName name="AmountTotal" localSheetId="6">#REF!</definedName>
    <definedName name="AmountTotal" localSheetId="7">#REF!</definedName>
    <definedName name="AmountTotal" localSheetId="8">#REF!</definedName>
    <definedName name="AmountTotal" localSheetId="9">#REF!</definedName>
    <definedName name="AmountTotal" localSheetId="10">#REF!</definedName>
    <definedName name="AmountTotal" localSheetId="11">#REF!</definedName>
    <definedName name="AmountTotal" localSheetId="4">#REF!</definedName>
    <definedName name="AmountTotal">#REF!</definedName>
    <definedName name="BookRev">'[3]Pacific Regulated - Price Out'!$F$50</definedName>
    <definedName name="BookRev_com">'[3]Pacific Regulated - Price Out'!$F$214</definedName>
    <definedName name="BookRev_mfr">'[3]Pacific Regulated - Price Out'!$F$222</definedName>
    <definedName name="BookRev_ro">'[3]Pacific Regulated - Price Out'!$F$282</definedName>
    <definedName name="BookRev_rr">'[3]Pacific Regulated - Price Out'!$F$59</definedName>
    <definedName name="BookRev_yw">'[3]Pacific Regulated - Price Out'!$F$70</definedName>
    <definedName name="BREMAIR_COST_of_SERVICE_STUDY" localSheetId="5">#REF!</definedName>
    <definedName name="BREMAIR_COST_of_SERVICE_STUDY" localSheetId="6">#REF!</definedName>
    <definedName name="BREMAIR_COST_of_SERVICE_STUDY" localSheetId="7">#REF!</definedName>
    <definedName name="BREMAIR_COST_of_SERVICE_STUDY" localSheetId="8">#REF!</definedName>
    <definedName name="BREMAIR_COST_of_SERVICE_STUDY" localSheetId="9">#REF!</definedName>
    <definedName name="BREMAIR_COST_of_SERVICE_STUDY" localSheetId="10">#REF!</definedName>
    <definedName name="BREMAIR_COST_of_SERVICE_STUDY" localSheetId="11">#REF!</definedName>
    <definedName name="BREMAIR_COST_of_SERVICE_STUDY" localSheetId="4">#REF!</definedName>
    <definedName name="BREMAIR_COST_of_SERVICE_STUDY">#REF!</definedName>
    <definedName name="BUD_CUR" localSheetId="5">[2]Hidden!#REF!</definedName>
    <definedName name="BUD_CUR" localSheetId="6">[2]Hidden!#REF!</definedName>
    <definedName name="BUD_CUR" localSheetId="7">[2]Hidden!#REF!</definedName>
    <definedName name="BUD_CUR" localSheetId="0">[2]Hidden!#REF!</definedName>
    <definedName name="BUD_CUR" localSheetId="8">[2]Hidden!#REF!</definedName>
    <definedName name="BUD_CUR" localSheetId="9">[2]Hidden!#REF!</definedName>
    <definedName name="BUD_CUR" localSheetId="10">[2]Hidden!#REF!</definedName>
    <definedName name="BUD_CUR" localSheetId="11">[2]Hidden!#REF!</definedName>
    <definedName name="BUD_CUR" localSheetId="4">[2]Hidden!#REF!</definedName>
    <definedName name="BUD_CUR">[2]Hidden!#REF!</definedName>
    <definedName name="BUD_YTD" localSheetId="5">[2]Hidden!#REF!</definedName>
    <definedName name="BUD_YTD" localSheetId="6">[2]Hidden!#REF!</definedName>
    <definedName name="BUD_YTD" localSheetId="7">[2]Hidden!#REF!</definedName>
    <definedName name="BUD_YTD" localSheetId="0">[2]Hidden!#REF!</definedName>
    <definedName name="BUD_YTD" localSheetId="8">[2]Hidden!#REF!</definedName>
    <definedName name="BUD_YTD" localSheetId="9">[2]Hidden!#REF!</definedName>
    <definedName name="BUD_YTD" localSheetId="10">[2]Hidden!#REF!</definedName>
    <definedName name="BUD_YTD" localSheetId="11">[2]Hidden!#REF!</definedName>
    <definedName name="BUD_YTD" localSheetId="4">[2]Hidden!#REF!</definedName>
    <definedName name="BUD_YTD">[2]Hidden!#REF!</definedName>
    <definedName name="CalRecyTons">'[4]Recycl Tons, Commodity Value'!$L$23</definedName>
    <definedName name="CheckTotals" localSheetId="5">#REF!</definedName>
    <definedName name="CheckTotals" localSheetId="6">#REF!</definedName>
    <definedName name="CheckTotals" localSheetId="7">#REF!</definedName>
    <definedName name="CheckTotals" localSheetId="8">#REF!</definedName>
    <definedName name="CheckTotals" localSheetId="9">#REF!</definedName>
    <definedName name="CheckTotals" localSheetId="10">#REF!</definedName>
    <definedName name="CheckTotals" localSheetId="11">#REF!</definedName>
    <definedName name="CheckTotals" localSheetId="4">#REF!</definedName>
    <definedName name="CheckTotals">#REF!</definedName>
    <definedName name="colgroup">[1]Orientation!$G$6</definedName>
    <definedName name="colsegment">[1]Orientation!$F$6</definedName>
    <definedName name="CRCTable" localSheetId="5">#REF!</definedName>
    <definedName name="CRCTable" localSheetId="6">#REF!</definedName>
    <definedName name="CRCTable" localSheetId="7">#REF!</definedName>
    <definedName name="CRCTable" localSheetId="8">#REF!</definedName>
    <definedName name="CRCTable" localSheetId="9">#REF!</definedName>
    <definedName name="CRCTable" localSheetId="10">#REF!</definedName>
    <definedName name="CRCTable" localSheetId="11">#REF!</definedName>
    <definedName name="CRCTable" localSheetId="4">#REF!</definedName>
    <definedName name="CRCTable">#REF!</definedName>
    <definedName name="CRCTableOLD" localSheetId="5">#REF!</definedName>
    <definedName name="CRCTableOLD" localSheetId="6">#REF!</definedName>
    <definedName name="CRCTableOLD" localSheetId="7">#REF!</definedName>
    <definedName name="CRCTableOLD" localSheetId="8">#REF!</definedName>
    <definedName name="CRCTableOLD" localSheetId="9">#REF!</definedName>
    <definedName name="CRCTableOLD" localSheetId="10">#REF!</definedName>
    <definedName name="CRCTableOLD" localSheetId="11">#REF!</definedName>
    <definedName name="CRCTableOLD" localSheetId="4">#REF!</definedName>
    <definedName name="CRCTableOLD">#REF!</definedName>
    <definedName name="CriteriaType">[5]ControlPanel!$Z$2:$Z$5</definedName>
    <definedName name="Cutomers" localSheetId="5">#REF!</definedName>
    <definedName name="Cutomers" localSheetId="6">#REF!</definedName>
    <definedName name="Cutomers" localSheetId="7">#REF!</definedName>
    <definedName name="Cutomers" localSheetId="8">#REF!</definedName>
    <definedName name="Cutomers" localSheetId="9">#REF!</definedName>
    <definedName name="Cutomers" localSheetId="10">#REF!</definedName>
    <definedName name="Cutomers" localSheetId="11">#REF!</definedName>
    <definedName name="Cutomers" localSheetId="4">#REF!</definedName>
    <definedName name="Cutomers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4">#REF!</definedName>
    <definedName name="_xlnm.Database">#REF!</definedName>
    <definedName name="Database1" localSheetId="5">#REF!</definedName>
    <definedName name="Database1" localSheetId="6">#REF!</definedName>
    <definedName name="Database1" localSheetId="7">#REF!</definedName>
    <definedName name="Database1" localSheetId="8">#REF!</definedName>
    <definedName name="Database1" localSheetId="9">#REF!</definedName>
    <definedName name="Database1" localSheetId="10">#REF!</definedName>
    <definedName name="Database1" localSheetId="11">#REF!</definedName>
    <definedName name="Database1" localSheetId="4">#REF!</definedName>
    <definedName name="Database1">#REF!</definedName>
    <definedName name="DEPT" localSheetId="5">[2]Hidden!#REF!</definedName>
    <definedName name="DEPT" localSheetId="6">[2]Hidden!#REF!</definedName>
    <definedName name="DEPT" localSheetId="7">[2]Hidden!#REF!</definedName>
    <definedName name="DEPT" localSheetId="8">[2]Hidden!#REF!</definedName>
    <definedName name="DEPT" localSheetId="9">[2]Hidden!#REF!</definedName>
    <definedName name="DEPT" localSheetId="10">[2]Hidden!#REF!</definedName>
    <definedName name="DEPT" localSheetId="11">[2]Hidden!#REF!</definedName>
    <definedName name="DEPT" localSheetId="4">[2]Hidden!#REF!</definedName>
    <definedName name="DEPT">[2]Hidden!#REF!</definedName>
    <definedName name="District" localSheetId="15">'IS 210 Apr-Jun'!$N$7</definedName>
    <definedName name="District" localSheetId="14">'IS 210 Jan-Mar'!$N$7</definedName>
    <definedName name="District" localSheetId="12">'IS 210 Jul-Sep'!$N$7</definedName>
    <definedName name="District" localSheetId="13">'IS 210 Oct-Dec'!$N$7</definedName>
    <definedName name="District">'[6]Vashon BS'!#REF!</definedName>
    <definedName name="DistrictName" localSheetId="15">'IS 210 Apr-Jun'!$N$8</definedName>
    <definedName name="DistrictName" localSheetId="14">'IS 210 Jan-Mar'!$N$8</definedName>
    <definedName name="DistrictName" localSheetId="12">'IS 210 Jul-Sep'!$N$8</definedName>
    <definedName name="DistrictName" localSheetId="13">'IS 210 Oct-Dec'!$N$8</definedName>
    <definedName name="DistrictNum" localSheetId="5">#REF!</definedName>
    <definedName name="DistrictNum" localSheetId="6">#REF!</definedName>
    <definedName name="DistrictNum" localSheetId="7">#REF!</definedName>
    <definedName name="DistrictNum" localSheetId="8">#REF!</definedName>
    <definedName name="DistrictNum" localSheetId="9">#REF!</definedName>
    <definedName name="DistrictNum" localSheetId="10">#REF!</definedName>
    <definedName name="DistrictNum" localSheetId="11">#REF!</definedName>
    <definedName name="DistrictNum" localSheetId="4">#REF!</definedName>
    <definedName name="DistrictNum">#REF!</definedName>
    <definedName name="drlFilter">[1]Settings!$D$27</definedName>
    <definedName name="End" localSheetId="5">#REF!</definedName>
    <definedName name="End" localSheetId="6">#REF!</definedName>
    <definedName name="End" localSheetId="7">#REF!</definedName>
    <definedName name="End" localSheetId="8">#REF!</definedName>
    <definedName name="End" localSheetId="9">#REF!</definedName>
    <definedName name="End" localSheetId="10">#REF!</definedName>
    <definedName name="End" localSheetId="11">#REF!</definedName>
    <definedName name="End" localSheetId="4">#REF!</definedName>
    <definedName name="End">#REF!</definedName>
    <definedName name="ExcludeIC" localSheetId="15">'IS 210 Apr-Jun'!#REF!</definedName>
    <definedName name="ExcludeIC" localSheetId="14">'IS 210 Jan-Mar'!#REF!</definedName>
    <definedName name="ExcludeIC" localSheetId="12">'IS 210 Jul-Sep'!#REF!</definedName>
    <definedName name="ExcludeIC" localSheetId="13">'IS 210 Oct-Dec'!#REF!</definedName>
    <definedName name="ExcludeIC">'[6]Vashon BS'!#REF!</definedName>
    <definedName name="FBTable" localSheetId="5">#REF!</definedName>
    <definedName name="FBTable" localSheetId="6">#REF!</definedName>
    <definedName name="FBTable" localSheetId="7">#REF!</definedName>
    <definedName name="FBTable" localSheetId="8">#REF!</definedName>
    <definedName name="FBTable" localSheetId="9">#REF!</definedName>
    <definedName name="FBTable" localSheetId="10">#REF!</definedName>
    <definedName name="FBTable" localSheetId="11">#REF!</definedName>
    <definedName name="FBTable" localSheetId="4">#REF!</definedName>
    <definedName name="FBTable">#REF!</definedName>
    <definedName name="FBTableOld" localSheetId="5">#REF!</definedName>
    <definedName name="FBTableOld" localSheetId="6">#REF!</definedName>
    <definedName name="FBTableOld" localSheetId="7">#REF!</definedName>
    <definedName name="FBTableOld" localSheetId="8">#REF!</definedName>
    <definedName name="FBTableOld" localSheetId="9">#REF!</definedName>
    <definedName name="FBTableOld" localSheetId="10">#REF!</definedName>
    <definedName name="FBTableOld" localSheetId="11">#REF!</definedName>
    <definedName name="FBTableOld" localSheetId="4">#REF!</definedName>
    <definedName name="FBTableOld">#REF!</definedName>
    <definedName name="filter">[1]Settings!$B$14:$H$25</definedName>
    <definedName name="GLMappingStart" localSheetId="5">#REF!</definedName>
    <definedName name="GLMappingStart" localSheetId="6">#REF!</definedName>
    <definedName name="GLMappingStart" localSheetId="7">#REF!</definedName>
    <definedName name="GLMappingStart" localSheetId="8">#REF!</definedName>
    <definedName name="GLMappingStart" localSheetId="9">#REF!</definedName>
    <definedName name="GLMappingStart" localSheetId="10">#REF!</definedName>
    <definedName name="GLMappingStart" localSheetId="11">#REF!</definedName>
    <definedName name="GLMappingStart" localSheetId="4">#REF!</definedName>
    <definedName name="GLMappingStart">#REF!</definedName>
    <definedName name="IncomeStmnt" localSheetId="5">#REF!</definedName>
    <definedName name="IncomeStmnt" localSheetId="6">#REF!</definedName>
    <definedName name="IncomeStmnt" localSheetId="7">#REF!</definedName>
    <definedName name="IncomeStmnt" localSheetId="8">#REF!</definedName>
    <definedName name="IncomeStmnt" localSheetId="9">#REF!</definedName>
    <definedName name="IncomeStmnt" localSheetId="10">#REF!</definedName>
    <definedName name="IncomeStmnt" localSheetId="11">#REF!</definedName>
    <definedName name="IncomeStmnt" localSheetId="4">#REF!</definedName>
    <definedName name="IncomeStmnt">#REF!</definedName>
    <definedName name="INPUT" localSheetId="5">#REF!</definedName>
    <definedName name="INPUT" localSheetId="6">#REF!</definedName>
    <definedName name="INPUT" localSheetId="7">#REF!</definedName>
    <definedName name="INPUT" localSheetId="8">#REF!</definedName>
    <definedName name="INPUT" localSheetId="9">#REF!</definedName>
    <definedName name="INPUT" localSheetId="10">#REF!</definedName>
    <definedName name="INPUT" localSheetId="11">#REF!</definedName>
    <definedName name="INPUT" localSheetId="4">#REF!</definedName>
    <definedName name="INPUT">#REF!</definedName>
    <definedName name="Insurance" localSheetId="5">#REF!</definedName>
    <definedName name="Insurance" localSheetId="6">#REF!</definedName>
    <definedName name="Insurance" localSheetId="7">#REF!</definedName>
    <definedName name="Insurance" localSheetId="8">#REF!</definedName>
    <definedName name="Insurance" localSheetId="9">#REF!</definedName>
    <definedName name="Insurance" localSheetId="10">#REF!</definedName>
    <definedName name="Insurance" localSheetId="11">#REF!</definedName>
    <definedName name="Insurance" localSheetId="4">#REF!</definedName>
    <definedName name="Insurance">#REF!</definedName>
    <definedName name="JEDetail" localSheetId="5">#REF!</definedName>
    <definedName name="JEDetail" localSheetId="6">#REF!</definedName>
    <definedName name="JEDetail" localSheetId="7">#REF!</definedName>
    <definedName name="JEDetail" localSheetId="8">#REF!</definedName>
    <definedName name="JEDetail" localSheetId="9">#REF!</definedName>
    <definedName name="JEDetail" localSheetId="10">#REF!</definedName>
    <definedName name="JEDetail" localSheetId="11">#REF!</definedName>
    <definedName name="JEDetail" localSheetId="4">#REF!</definedName>
    <definedName name="JEDetail">#REF!</definedName>
    <definedName name="JEType" localSheetId="5">#REF!</definedName>
    <definedName name="JEType" localSheetId="6">#REF!</definedName>
    <definedName name="JEType" localSheetId="7">#REF!</definedName>
    <definedName name="JEType" localSheetId="8">#REF!</definedName>
    <definedName name="JEType" localSheetId="9">#REF!</definedName>
    <definedName name="JEType" localSheetId="10">#REF!</definedName>
    <definedName name="JEType" localSheetId="11">#REF!</definedName>
    <definedName name="JEType" localSheetId="4">#REF!</definedName>
    <definedName name="JEType">#REF!</definedName>
    <definedName name="lblBillAreaStatus" localSheetId="5">#REF!</definedName>
    <definedName name="lblBillAreaStatus" localSheetId="6">#REF!</definedName>
    <definedName name="lblBillAreaStatus" localSheetId="7">#REF!</definedName>
    <definedName name="lblBillAreaStatus" localSheetId="8">#REF!</definedName>
    <definedName name="lblBillAreaStatus" localSheetId="9">#REF!</definedName>
    <definedName name="lblBillAreaStatus" localSheetId="10">#REF!</definedName>
    <definedName name="lblBillAreaStatus" localSheetId="11">#REF!</definedName>
    <definedName name="lblBillAreaStatus" localSheetId="4">#REF!</definedName>
    <definedName name="lblBillAreaStatus">#REF!</definedName>
    <definedName name="lblBillCycleStatus" localSheetId="5">#REF!</definedName>
    <definedName name="lblBillCycleStatus" localSheetId="6">#REF!</definedName>
    <definedName name="lblBillCycleStatus" localSheetId="7">#REF!</definedName>
    <definedName name="lblBillCycleStatus" localSheetId="8">#REF!</definedName>
    <definedName name="lblBillCycleStatus" localSheetId="9">#REF!</definedName>
    <definedName name="lblBillCycleStatus" localSheetId="10">#REF!</definedName>
    <definedName name="lblBillCycleStatus" localSheetId="11">#REF!</definedName>
    <definedName name="lblBillCycleStatus" localSheetId="4">#REF!</definedName>
    <definedName name="lblBillCycleStatus">#REF!</definedName>
    <definedName name="lblCategoryStatus" localSheetId="5">#REF!</definedName>
    <definedName name="lblCategoryStatus" localSheetId="6">#REF!</definedName>
    <definedName name="lblCategoryStatus" localSheetId="7">#REF!</definedName>
    <definedName name="lblCategoryStatus" localSheetId="8">#REF!</definedName>
    <definedName name="lblCategoryStatus" localSheetId="9">#REF!</definedName>
    <definedName name="lblCategoryStatus" localSheetId="10">#REF!</definedName>
    <definedName name="lblCategoryStatus" localSheetId="11">#REF!</definedName>
    <definedName name="lblCategoryStatus" localSheetId="4">#REF!</definedName>
    <definedName name="lblCategoryStatus">#REF!</definedName>
    <definedName name="lblCompanyStatus" localSheetId="5">#REF!</definedName>
    <definedName name="lblCompanyStatus" localSheetId="6">#REF!</definedName>
    <definedName name="lblCompanyStatus" localSheetId="7">#REF!</definedName>
    <definedName name="lblCompanyStatus" localSheetId="8">#REF!</definedName>
    <definedName name="lblCompanyStatus" localSheetId="9">#REF!</definedName>
    <definedName name="lblCompanyStatus" localSheetId="10">#REF!</definedName>
    <definedName name="lblCompanyStatus" localSheetId="11">#REF!</definedName>
    <definedName name="lblCompanyStatus" localSheetId="4">#REF!</definedName>
    <definedName name="lblCompanyStatus">#REF!</definedName>
    <definedName name="lblDatabaseStatus" localSheetId="5">#REF!</definedName>
    <definedName name="lblDatabaseStatus" localSheetId="6">#REF!</definedName>
    <definedName name="lblDatabaseStatus" localSheetId="7">#REF!</definedName>
    <definedName name="lblDatabaseStatus" localSheetId="8">#REF!</definedName>
    <definedName name="lblDatabaseStatus" localSheetId="9">#REF!</definedName>
    <definedName name="lblDatabaseStatus" localSheetId="10">#REF!</definedName>
    <definedName name="lblDatabaseStatus" localSheetId="11">#REF!</definedName>
    <definedName name="lblDatabaseStatus" localSheetId="4">#REF!</definedName>
    <definedName name="lblDatabaseStatus">#REF!</definedName>
    <definedName name="lblPullStatus" localSheetId="5">#REF!</definedName>
    <definedName name="lblPullStatus" localSheetId="6">#REF!</definedName>
    <definedName name="lblPullStatus" localSheetId="7">#REF!</definedName>
    <definedName name="lblPullStatus" localSheetId="8">#REF!</definedName>
    <definedName name="lblPullStatus" localSheetId="9">#REF!</definedName>
    <definedName name="lblPullStatus" localSheetId="10">#REF!</definedName>
    <definedName name="lblPullStatus" localSheetId="11">#REF!</definedName>
    <definedName name="lblPullStatus" localSheetId="4">#REF!</definedName>
    <definedName name="lblPullStatus">#REF!</definedName>
    <definedName name="lllllllllllllllllllll" localSheetId="5">#REF!</definedName>
    <definedName name="lllllllllllllllllllll" localSheetId="6">#REF!</definedName>
    <definedName name="lllllllllllllllllllll" localSheetId="7">#REF!</definedName>
    <definedName name="lllllllllllllllllllll" localSheetId="8">#REF!</definedName>
    <definedName name="lllllllllllllllllllll" localSheetId="9">#REF!</definedName>
    <definedName name="lllllllllllllllllllll" localSheetId="10">#REF!</definedName>
    <definedName name="lllllllllllllllllllll" localSheetId="11">#REF!</definedName>
    <definedName name="lllllllllllllllllllll" localSheetId="4">#REF!</definedName>
    <definedName name="lllllllllllllllllllll">#REF!</definedName>
    <definedName name="MainDataEnd" localSheetId="5">#REF!</definedName>
    <definedName name="MainDataEnd" localSheetId="6">#REF!</definedName>
    <definedName name="MainDataEnd" localSheetId="7">#REF!</definedName>
    <definedName name="MainDataEnd" localSheetId="8">#REF!</definedName>
    <definedName name="MainDataEnd" localSheetId="9">#REF!</definedName>
    <definedName name="MainDataEnd" localSheetId="10">#REF!</definedName>
    <definedName name="MainDataEnd" localSheetId="11">#REF!</definedName>
    <definedName name="MainDataEnd" localSheetId="4">#REF!</definedName>
    <definedName name="MainDataEnd">#REF!</definedName>
    <definedName name="MainDataStart" localSheetId="5">#REF!</definedName>
    <definedName name="MainDataStart" localSheetId="6">#REF!</definedName>
    <definedName name="MainDataStart" localSheetId="7">#REF!</definedName>
    <definedName name="MainDataStart" localSheetId="8">#REF!</definedName>
    <definedName name="MainDataStart" localSheetId="9">#REF!</definedName>
    <definedName name="MainDataStart" localSheetId="10">#REF!</definedName>
    <definedName name="MainDataStart" localSheetId="11">#REF!</definedName>
    <definedName name="MainDataStart" localSheetId="4">#REF!</definedName>
    <definedName name="MainDataStart">#REF!</definedName>
    <definedName name="MapKeyStart" localSheetId="5">#REF!</definedName>
    <definedName name="MapKeyStart" localSheetId="6">#REF!</definedName>
    <definedName name="MapKeyStart" localSheetId="7">#REF!</definedName>
    <definedName name="MapKeyStart" localSheetId="8">#REF!</definedName>
    <definedName name="MapKeyStart" localSheetId="9">#REF!</definedName>
    <definedName name="MapKeyStart" localSheetId="10">#REF!</definedName>
    <definedName name="MapKeyStart" localSheetId="11">#REF!</definedName>
    <definedName name="MapKeyStart" localSheetId="4">#REF!</definedName>
    <definedName name="MapKeyStart">#REF!</definedName>
    <definedName name="master_def" localSheetId="5">#REF!</definedName>
    <definedName name="master_def" localSheetId="6">#REF!</definedName>
    <definedName name="master_def" localSheetId="7">#REF!</definedName>
    <definedName name="master_def" localSheetId="8">#REF!</definedName>
    <definedName name="master_def" localSheetId="9">#REF!</definedName>
    <definedName name="master_def" localSheetId="10">#REF!</definedName>
    <definedName name="master_def" localSheetId="11">#REF!</definedName>
    <definedName name="master_def" localSheetId="4">#REF!</definedName>
    <definedName name="master_def">#REF!</definedName>
    <definedName name="MemoAttachment">#REF!</definedName>
    <definedName name="MetaSet">[1]Orientation!$C$22</definedName>
    <definedName name="NewOnlyOrg">#N/A</definedName>
    <definedName name="NOTES" localSheetId="5">#REF!</definedName>
    <definedName name="NOTES" localSheetId="6">#REF!</definedName>
    <definedName name="NOTES" localSheetId="7">#REF!</definedName>
    <definedName name="NOTES" localSheetId="8">#REF!</definedName>
    <definedName name="NOTES" localSheetId="9">#REF!</definedName>
    <definedName name="NOTES" localSheetId="10">#REF!</definedName>
    <definedName name="NOTES" localSheetId="11">#REF!</definedName>
    <definedName name="NOTES" localSheetId="4">#REF!</definedName>
    <definedName name="NOTES">#REF!</definedName>
    <definedName name="NR">#REF!</definedName>
    <definedName name="OfficerSalary">#N/A</definedName>
    <definedName name="OffsetAcctBil">[7]JEexport!$L$10</definedName>
    <definedName name="OffsetAcctPmt">[7]JEexport!$L$9</definedName>
    <definedName name="Org11_13">#N/A</definedName>
    <definedName name="Org7_10">#N/A</definedName>
    <definedName name="p" localSheetId="5">#REF!</definedName>
    <definedName name="p" localSheetId="6">#REF!</definedName>
    <definedName name="p" localSheetId="7">#REF!</definedName>
    <definedName name="p" localSheetId="8">#REF!</definedName>
    <definedName name="p" localSheetId="9">#REF!</definedName>
    <definedName name="p" localSheetId="10">#REF!</definedName>
    <definedName name="p" localSheetId="11">#REF!</definedName>
    <definedName name="p" localSheetId="4">#REF!</definedName>
    <definedName name="p">#REF!</definedName>
    <definedName name="PAGE_1" localSheetId="5">#REF!</definedName>
    <definedName name="PAGE_1" localSheetId="6">#REF!</definedName>
    <definedName name="PAGE_1" localSheetId="7">#REF!</definedName>
    <definedName name="PAGE_1" localSheetId="8">#REF!</definedName>
    <definedName name="PAGE_1" localSheetId="9">#REF!</definedName>
    <definedName name="PAGE_1" localSheetId="10">#REF!</definedName>
    <definedName name="PAGE_1" localSheetId="11">#REF!</definedName>
    <definedName name="PAGE_1" localSheetId="4">#REF!</definedName>
    <definedName name="PAGE_1">#REF!</definedName>
    <definedName name="pBatchID" localSheetId="5">#REF!</definedName>
    <definedName name="pBatchID" localSheetId="6">#REF!</definedName>
    <definedName name="pBatchID" localSheetId="7">#REF!</definedName>
    <definedName name="pBatchID" localSheetId="8">#REF!</definedName>
    <definedName name="pBatchID" localSheetId="9">#REF!</definedName>
    <definedName name="pBatchID" localSheetId="10">#REF!</definedName>
    <definedName name="pBatchID" localSheetId="11">#REF!</definedName>
    <definedName name="pBatchID" localSheetId="4">#REF!</definedName>
    <definedName name="pBatchID">#REF!</definedName>
    <definedName name="pBillArea" localSheetId="5">#REF!</definedName>
    <definedName name="pBillArea" localSheetId="6">#REF!</definedName>
    <definedName name="pBillArea" localSheetId="7">#REF!</definedName>
    <definedName name="pBillArea" localSheetId="8">#REF!</definedName>
    <definedName name="pBillArea" localSheetId="9">#REF!</definedName>
    <definedName name="pBillArea" localSheetId="10">#REF!</definedName>
    <definedName name="pBillArea" localSheetId="11">#REF!</definedName>
    <definedName name="pBillArea" localSheetId="4">#REF!</definedName>
    <definedName name="pBillArea">#REF!</definedName>
    <definedName name="pBillCycle" localSheetId="5">#REF!</definedName>
    <definedName name="pBillCycle" localSheetId="6">#REF!</definedName>
    <definedName name="pBillCycle" localSheetId="7">#REF!</definedName>
    <definedName name="pBillCycle" localSheetId="8">#REF!</definedName>
    <definedName name="pBillCycle" localSheetId="9">#REF!</definedName>
    <definedName name="pBillCycle" localSheetId="10">#REF!</definedName>
    <definedName name="pBillCycle" localSheetId="11">#REF!</definedName>
    <definedName name="pBillCycle" localSheetId="4">#REF!</definedName>
    <definedName name="pBillCycle">#REF!</definedName>
    <definedName name="pCategory" localSheetId="5">#REF!</definedName>
    <definedName name="pCategory" localSheetId="6">#REF!</definedName>
    <definedName name="pCategory" localSheetId="7">#REF!</definedName>
    <definedName name="pCategory" localSheetId="8">#REF!</definedName>
    <definedName name="pCategory" localSheetId="9">#REF!</definedName>
    <definedName name="pCategory" localSheetId="10">#REF!</definedName>
    <definedName name="pCategory" localSheetId="11">#REF!</definedName>
    <definedName name="pCategory" localSheetId="4">#REF!</definedName>
    <definedName name="pCategory">#REF!</definedName>
    <definedName name="pCompany" localSheetId="5">#REF!</definedName>
    <definedName name="pCompany" localSheetId="6">#REF!</definedName>
    <definedName name="pCompany" localSheetId="7">#REF!</definedName>
    <definedName name="pCompany" localSheetId="8">#REF!</definedName>
    <definedName name="pCompany" localSheetId="9">#REF!</definedName>
    <definedName name="pCompany" localSheetId="10">#REF!</definedName>
    <definedName name="pCompany" localSheetId="11">#REF!</definedName>
    <definedName name="pCompany" localSheetId="4">#REF!</definedName>
    <definedName name="pCompany">#REF!</definedName>
    <definedName name="pCustomerNumber" localSheetId="5">#REF!</definedName>
    <definedName name="pCustomerNumber" localSheetId="6">#REF!</definedName>
    <definedName name="pCustomerNumber" localSheetId="7">#REF!</definedName>
    <definedName name="pCustomerNumber" localSheetId="8">#REF!</definedName>
    <definedName name="pCustomerNumber" localSheetId="9">#REF!</definedName>
    <definedName name="pCustomerNumber" localSheetId="10">#REF!</definedName>
    <definedName name="pCustomerNumber" localSheetId="11">#REF!</definedName>
    <definedName name="pCustomerNumber" localSheetId="4">#REF!</definedName>
    <definedName name="pCustomerNumber">#REF!</definedName>
    <definedName name="pDatabase" localSheetId="5">#REF!</definedName>
    <definedName name="pDatabase" localSheetId="6">#REF!</definedName>
    <definedName name="pDatabase" localSheetId="7">#REF!</definedName>
    <definedName name="pDatabase" localSheetId="8">#REF!</definedName>
    <definedName name="pDatabase" localSheetId="9">#REF!</definedName>
    <definedName name="pDatabase" localSheetId="10">#REF!</definedName>
    <definedName name="pDatabase" localSheetId="11">#REF!</definedName>
    <definedName name="pDatabase" localSheetId="4">#REF!</definedName>
    <definedName name="pDatabase">#REF!</definedName>
    <definedName name="pEndPostDate" localSheetId="5">#REF!</definedName>
    <definedName name="pEndPostDate" localSheetId="6">#REF!</definedName>
    <definedName name="pEndPostDate" localSheetId="7">#REF!</definedName>
    <definedName name="pEndPostDate" localSheetId="8">#REF!</definedName>
    <definedName name="pEndPostDate" localSheetId="9">#REF!</definedName>
    <definedName name="pEndPostDate" localSheetId="10">#REF!</definedName>
    <definedName name="pEndPostDate" localSheetId="11">#REF!</definedName>
    <definedName name="pEndPostDate" localSheetId="4">#REF!</definedName>
    <definedName name="pEndPostDate">#REF!</definedName>
    <definedName name="Period" localSheetId="5">#REF!</definedName>
    <definedName name="Period" localSheetId="6">#REF!</definedName>
    <definedName name="Period" localSheetId="7">#REF!</definedName>
    <definedName name="Period" localSheetId="8">#REF!</definedName>
    <definedName name="Period" localSheetId="9">#REF!</definedName>
    <definedName name="Period" localSheetId="10">#REF!</definedName>
    <definedName name="Period" localSheetId="11">#REF!</definedName>
    <definedName name="Period" localSheetId="4">#REF!</definedName>
    <definedName name="Period">#REF!</definedName>
    <definedName name="pMonth" localSheetId="5">#REF!</definedName>
    <definedName name="pMonth" localSheetId="6">#REF!</definedName>
    <definedName name="pMonth" localSheetId="7">#REF!</definedName>
    <definedName name="pMonth" localSheetId="8">#REF!</definedName>
    <definedName name="pMonth" localSheetId="9">#REF!</definedName>
    <definedName name="pMonth" localSheetId="10">#REF!</definedName>
    <definedName name="pMonth" localSheetId="11">#REF!</definedName>
    <definedName name="pMonth" localSheetId="4">#REF!</definedName>
    <definedName name="pMonth">#REF!</definedName>
    <definedName name="pOnlyShowLastTranx" localSheetId="5">#REF!</definedName>
    <definedName name="pOnlyShowLastTranx" localSheetId="6">#REF!</definedName>
    <definedName name="pOnlyShowLastTranx" localSheetId="7">#REF!</definedName>
    <definedName name="pOnlyShowLastTranx" localSheetId="8">#REF!</definedName>
    <definedName name="pOnlyShowLastTranx" localSheetId="9">#REF!</definedName>
    <definedName name="pOnlyShowLastTranx" localSheetId="10">#REF!</definedName>
    <definedName name="pOnlyShowLastTranx" localSheetId="11">#REF!</definedName>
    <definedName name="pOnlyShowLastTranx" localSheetId="4">#REF!</definedName>
    <definedName name="pOnlyShowLastTranx">#REF!</definedName>
    <definedName name="primtbl">[1]Orientation!$C$23</definedName>
    <definedName name="_xlnm.Print_Area" localSheetId="5">'Army Non-Reg - Price Out'!$B$1:$AN$45</definedName>
    <definedName name="_xlnm.Print_Area" localSheetId="6">'Harrington Non-Reg - Price Out'!$B$1:$AO$42</definedName>
    <definedName name="_xlnm.Print_Area" localSheetId="15">'IS 210 Apr-Jun'!$D$7:$R$294</definedName>
    <definedName name="_xlnm.Print_Area" localSheetId="14">'IS 210 Jan-Mar'!$D$7:$R$290</definedName>
    <definedName name="_xlnm.Print_Area" localSheetId="12">'IS 210 Jul-Sep'!$D$7:$R$309</definedName>
    <definedName name="_xlnm.Print_Area" localSheetId="13">'IS 210 Oct-Dec'!$D$7:$R$312</definedName>
    <definedName name="_xlnm.Print_Area" localSheetId="7">'Latah Co Non-Reg - Price Out'!$B$1:$AO$19</definedName>
    <definedName name="_xlnm.Print_Area" localSheetId="8">'Rockford Non-Reg - Price Out'!$B$1:$AN$51</definedName>
    <definedName name="_xlnm.Print_Area" localSheetId="9">'Spangle Non-Reg - Price Out'!$B$1:$AN$58</definedName>
    <definedName name="_xlnm.Print_Area" localSheetId="10">'Starbuck Non-Reg - Price Out'!$B$1:$AN$36</definedName>
    <definedName name="_xlnm.Print_Area" localSheetId="11">'Tekoa Non-Reg - Price Out'!$B$1:$AO$66</definedName>
    <definedName name="_xlnm.Print_Area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4">#REF!</definedName>
    <definedName name="Print_Area_MI">#REF!</definedName>
    <definedName name="Print_Area1" localSheetId="5">#REF!</definedName>
    <definedName name="Print_Area1" localSheetId="6">#REF!</definedName>
    <definedName name="Print_Area1" localSheetId="7">#REF!</definedName>
    <definedName name="Print_Area1" localSheetId="8">#REF!</definedName>
    <definedName name="Print_Area1" localSheetId="9">#REF!</definedName>
    <definedName name="Print_Area1" localSheetId="10">#REF!</definedName>
    <definedName name="Print_Area1" localSheetId="11">#REF!</definedName>
    <definedName name="Print_Area1" localSheetId="4">#REF!</definedName>
    <definedName name="Print_Area1">#REF!</definedName>
    <definedName name="Print_Area2" localSheetId="5">#REF!</definedName>
    <definedName name="Print_Area2" localSheetId="6">#REF!</definedName>
    <definedName name="Print_Area2" localSheetId="7">#REF!</definedName>
    <definedName name="Print_Area2" localSheetId="8">#REF!</definedName>
    <definedName name="Print_Area2" localSheetId="9">#REF!</definedName>
    <definedName name="Print_Area2" localSheetId="10">#REF!</definedName>
    <definedName name="Print_Area2" localSheetId="11">#REF!</definedName>
    <definedName name="Print_Area2" localSheetId="4">#REF!</definedName>
    <definedName name="Print_Area2">#REF!</definedName>
    <definedName name="Print_Area3" localSheetId="5">#REF!</definedName>
    <definedName name="Print_Area3" localSheetId="6">#REF!</definedName>
    <definedName name="Print_Area3" localSheetId="7">#REF!</definedName>
    <definedName name="Print_Area3" localSheetId="8">#REF!</definedName>
    <definedName name="Print_Area3" localSheetId="9">#REF!</definedName>
    <definedName name="Print_Area3" localSheetId="10">#REF!</definedName>
    <definedName name="Print_Area3" localSheetId="11">#REF!</definedName>
    <definedName name="Print_Area3" localSheetId="4">#REF!</definedName>
    <definedName name="Print_Area3">#REF!</definedName>
    <definedName name="Print_Area5" localSheetId="5">#REF!</definedName>
    <definedName name="Print_Area5" localSheetId="6">#REF!</definedName>
    <definedName name="Print_Area5" localSheetId="7">#REF!</definedName>
    <definedName name="Print_Area5" localSheetId="8">#REF!</definedName>
    <definedName name="Print_Area5" localSheetId="9">#REF!</definedName>
    <definedName name="Print_Area5" localSheetId="10">#REF!</definedName>
    <definedName name="Print_Area5" localSheetId="11">#REF!</definedName>
    <definedName name="Print_Area5" localSheetId="4">#REF!</definedName>
    <definedName name="Print_Area5">#REF!</definedName>
    <definedName name="_xlnm.Print_Titles" localSheetId="15">'IS 210 Apr-Jun'!$D:$H,'IS 210 Apr-Jun'!$7:$13</definedName>
    <definedName name="_xlnm.Print_Titles" localSheetId="14">'IS 210 Jan-Mar'!$D:$H,'IS 210 Jan-Mar'!$7:$13</definedName>
    <definedName name="_xlnm.Print_Titles" localSheetId="12">'IS 210 Jul-Sep'!$D:$H,'IS 210 Jul-Sep'!$7:$13</definedName>
    <definedName name="_xlnm.Print_Titles" localSheetId="13">'IS 210 Oct-Dec'!$D:$H,'IS 210 Oct-Dec'!$7:$13</definedName>
    <definedName name="_xlnm.Print_Titles" localSheetId="3">'Spokane Reg - Price out'!$1:$5</definedName>
    <definedName name="_xlnm.Print_Titles" localSheetId="4">'Whitman Reg - Price Out'!$1:$5</definedName>
    <definedName name="Print1" localSheetId="5">#REF!</definedName>
    <definedName name="Print1" localSheetId="6">#REF!</definedName>
    <definedName name="Print1" localSheetId="7">#REF!</definedName>
    <definedName name="Print1" localSheetId="8">#REF!</definedName>
    <definedName name="Print1" localSheetId="9">#REF!</definedName>
    <definedName name="Print1" localSheetId="10">#REF!</definedName>
    <definedName name="Print1" localSheetId="11">#REF!</definedName>
    <definedName name="Print1" localSheetId="4">#REF!</definedName>
    <definedName name="Print1">#REF!</definedName>
    <definedName name="Print2" localSheetId="5">#REF!</definedName>
    <definedName name="Print2" localSheetId="6">#REF!</definedName>
    <definedName name="Print2" localSheetId="7">#REF!</definedName>
    <definedName name="Print2" localSheetId="8">#REF!</definedName>
    <definedName name="Print2" localSheetId="9">#REF!</definedName>
    <definedName name="Print2" localSheetId="10">#REF!</definedName>
    <definedName name="Print2" localSheetId="11">#REF!</definedName>
    <definedName name="Print2" localSheetId="4">#REF!</definedName>
    <definedName name="Print2">#REF!</definedName>
    <definedName name="Print5" localSheetId="5">#REF!</definedName>
    <definedName name="Print5" localSheetId="6">#REF!</definedName>
    <definedName name="Print5" localSheetId="7">#REF!</definedName>
    <definedName name="Print5" localSheetId="8">#REF!</definedName>
    <definedName name="Print5" localSheetId="9">#REF!</definedName>
    <definedName name="Print5" localSheetId="10">#REF!</definedName>
    <definedName name="Print5" localSheetId="11">#REF!</definedName>
    <definedName name="Print5" localSheetId="4">#REF!</definedName>
    <definedName name="Print5">#REF!</definedName>
    <definedName name="ProRev">'[3]Pacific Regulated - Price Out'!$M$49</definedName>
    <definedName name="ProRev_com">'[3]Pacific Regulated - Price Out'!$M$213</definedName>
    <definedName name="ProRev_mfr">'[3]Pacific Regulated - Price Out'!$M$221</definedName>
    <definedName name="ProRev_ro">'[3]Pacific Regulated - Price Out'!$M$281</definedName>
    <definedName name="ProRev_rr">'[3]Pacific Regulated - Price Out'!$M$58</definedName>
    <definedName name="ProRev_yw">'[3]Pacific Regulated - Price Out'!$M$69</definedName>
    <definedName name="pServer" localSheetId="5">#REF!</definedName>
    <definedName name="pServer" localSheetId="6">#REF!</definedName>
    <definedName name="pServer" localSheetId="7">#REF!</definedName>
    <definedName name="pServer" localSheetId="8">#REF!</definedName>
    <definedName name="pServer" localSheetId="9">#REF!</definedName>
    <definedName name="pServer" localSheetId="10">#REF!</definedName>
    <definedName name="pServer" localSheetId="11">#REF!</definedName>
    <definedName name="pServer" localSheetId="4">#REF!</definedName>
    <definedName name="pServer">#REF!</definedName>
    <definedName name="pServiceCode" localSheetId="5">#REF!</definedName>
    <definedName name="pServiceCode" localSheetId="6">#REF!</definedName>
    <definedName name="pServiceCode" localSheetId="7">#REF!</definedName>
    <definedName name="pServiceCode" localSheetId="8">#REF!</definedName>
    <definedName name="pServiceCode" localSheetId="9">#REF!</definedName>
    <definedName name="pServiceCode" localSheetId="10">#REF!</definedName>
    <definedName name="pServiceCode" localSheetId="11">#REF!</definedName>
    <definedName name="pServiceCode" localSheetId="4">#REF!</definedName>
    <definedName name="pServiceCode">#REF!</definedName>
    <definedName name="pShowAllUnposted" localSheetId="5">#REF!</definedName>
    <definedName name="pShowAllUnposted" localSheetId="6">#REF!</definedName>
    <definedName name="pShowAllUnposted" localSheetId="7">#REF!</definedName>
    <definedName name="pShowAllUnposted" localSheetId="8">#REF!</definedName>
    <definedName name="pShowAllUnposted" localSheetId="9">#REF!</definedName>
    <definedName name="pShowAllUnposted" localSheetId="10">#REF!</definedName>
    <definedName name="pShowAllUnposted" localSheetId="11">#REF!</definedName>
    <definedName name="pShowAllUnposted" localSheetId="4">#REF!</definedName>
    <definedName name="pShowAllUnposted">#REF!</definedName>
    <definedName name="pShowCustomerDetail" localSheetId="5">#REF!</definedName>
    <definedName name="pShowCustomerDetail" localSheetId="6">#REF!</definedName>
    <definedName name="pShowCustomerDetail" localSheetId="7">#REF!</definedName>
    <definedName name="pShowCustomerDetail" localSheetId="8">#REF!</definedName>
    <definedName name="pShowCustomerDetail" localSheetId="9">#REF!</definedName>
    <definedName name="pShowCustomerDetail" localSheetId="10">#REF!</definedName>
    <definedName name="pShowCustomerDetail" localSheetId="11">#REF!</definedName>
    <definedName name="pShowCustomerDetail" localSheetId="4">#REF!</definedName>
    <definedName name="pShowCustomerDetail">#REF!</definedName>
    <definedName name="pSortOption" localSheetId="5">#REF!</definedName>
    <definedName name="pSortOption" localSheetId="6">#REF!</definedName>
    <definedName name="pSortOption" localSheetId="7">#REF!</definedName>
    <definedName name="pSortOption" localSheetId="8">#REF!</definedName>
    <definedName name="pSortOption" localSheetId="9">#REF!</definedName>
    <definedName name="pSortOption" localSheetId="10">#REF!</definedName>
    <definedName name="pSortOption" localSheetId="11">#REF!</definedName>
    <definedName name="pSortOption" localSheetId="4">#REF!</definedName>
    <definedName name="pSortOption">#REF!</definedName>
    <definedName name="pStartPostDate" localSheetId="5">#REF!</definedName>
    <definedName name="pStartPostDate" localSheetId="6">#REF!</definedName>
    <definedName name="pStartPostDate" localSheetId="7">#REF!</definedName>
    <definedName name="pStartPostDate" localSheetId="8">#REF!</definedName>
    <definedName name="pStartPostDate" localSheetId="9">#REF!</definedName>
    <definedName name="pStartPostDate" localSheetId="10">#REF!</definedName>
    <definedName name="pStartPostDate" localSheetId="11">#REF!</definedName>
    <definedName name="pStartPostDate" localSheetId="4">#REF!</definedName>
    <definedName name="pStartPostDate">#REF!</definedName>
    <definedName name="pTransType" localSheetId="5">#REF!</definedName>
    <definedName name="pTransType" localSheetId="6">#REF!</definedName>
    <definedName name="pTransType" localSheetId="7">#REF!</definedName>
    <definedName name="pTransType" localSheetId="8">#REF!</definedName>
    <definedName name="pTransType" localSheetId="9">#REF!</definedName>
    <definedName name="pTransType" localSheetId="10">#REF!</definedName>
    <definedName name="pTransType" localSheetId="11">#REF!</definedName>
    <definedName name="pTransType" localSheetId="4">#REF!</definedName>
    <definedName name="pTransType">#REF!</definedName>
    <definedName name="RCW_81.04.080">#N/A</definedName>
    <definedName name="RecyDisposal">#N/A</definedName>
    <definedName name="RelatedSalary">#N/A</definedName>
    <definedName name="report_type">[1]Orientation!$C$24</definedName>
    <definedName name="ReportNames">[5]ControlPanel!$X$2:$X$8</definedName>
    <definedName name="ReportVersion">[1]Settings!$D$5</definedName>
    <definedName name="RetainedEarnings" localSheetId="5">#REF!</definedName>
    <definedName name="RetainedEarnings" localSheetId="6">#REF!</definedName>
    <definedName name="RetainedEarnings" localSheetId="7">#REF!</definedName>
    <definedName name="RetainedEarnings" localSheetId="8">#REF!</definedName>
    <definedName name="RetainedEarnings" localSheetId="9">#REF!</definedName>
    <definedName name="RetainedEarnings" localSheetId="10">#REF!</definedName>
    <definedName name="RetainedEarnings" localSheetId="11">#REF!</definedName>
    <definedName name="RetainedEarnings" localSheetId="4">#REF!</definedName>
    <definedName name="RetainedEarnings">#REF!</definedName>
    <definedName name="RevCust" localSheetId="5">[8]RevenuesCust!#REF!</definedName>
    <definedName name="RevCust" localSheetId="6">[8]RevenuesCust!#REF!</definedName>
    <definedName name="RevCust" localSheetId="7">[8]RevenuesCust!#REF!</definedName>
    <definedName name="RevCust" localSheetId="8">[8]RevenuesCust!#REF!</definedName>
    <definedName name="RevCust" localSheetId="9">[8]RevenuesCust!#REF!</definedName>
    <definedName name="RevCust" localSheetId="10">[8]RevenuesCust!#REF!</definedName>
    <definedName name="RevCust" localSheetId="11">[8]RevenuesCust!#REF!</definedName>
    <definedName name="RevCust" localSheetId="4">[8]RevenuesCust!#REF!</definedName>
    <definedName name="RevCust">[8]RevenuesCust!#REF!</definedName>
    <definedName name="RevCustomer">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 localSheetId="5">#REF!</definedName>
    <definedName name="sortcol" localSheetId="6">#REF!</definedName>
    <definedName name="sortcol" localSheetId="7">#REF!</definedName>
    <definedName name="sortcol" localSheetId="8">#REF!</definedName>
    <definedName name="sortcol" localSheetId="9">#REF!</definedName>
    <definedName name="sortcol" localSheetId="10">#REF!</definedName>
    <definedName name="sortcol" localSheetId="11">#REF!</definedName>
    <definedName name="sortcol" localSheetId="4">#REF!</definedName>
    <definedName name="sortcol">#REF!</definedName>
    <definedName name="sSRCDate" localSheetId="5">'[9]Feb''12 FAR Data'!#REF!</definedName>
    <definedName name="sSRCDate" localSheetId="6">'[9]Feb''12 FAR Data'!#REF!</definedName>
    <definedName name="sSRCDate" localSheetId="7">'[9]Feb''12 FAR Data'!#REF!</definedName>
    <definedName name="sSRCDate" localSheetId="8">'[9]Feb''12 FAR Data'!#REF!</definedName>
    <definedName name="sSRCDate" localSheetId="9">'[9]Feb''12 FAR Data'!#REF!</definedName>
    <definedName name="sSRCDate" localSheetId="10">'[9]Feb''12 FAR Data'!#REF!</definedName>
    <definedName name="sSRCDate" localSheetId="11">'[9]Feb''12 FAR Data'!#REF!</definedName>
    <definedName name="sSRCDate" localSheetId="4">'[9]Feb''12 FAR Data'!#REF!</definedName>
    <definedName name="sSRCDate">'[9]Feb''12 FAR Data'!#REF!</definedName>
    <definedName name="Supplemental_filter">[1]Settings!$C$31</definedName>
    <definedName name="SWDisposal">#N/A</definedName>
    <definedName name="System" localSheetId="15">'IS 210 Apr-Jun'!#REF!</definedName>
    <definedName name="System" localSheetId="14">'IS 210 Jan-Mar'!#REF!</definedName>
    <definedName name="System" localSheetId="12">'IS 210 Jul-Sep'!#REF!</definedName>
    <definedName name="System" localSheetId="13">'IS 210 Oct-Dec'!#REF!</definedName>
    <definedName name="System">[10]BS_Close!$V$8</definedName>
    <definedName name="TemplateEnd" localSheetId="5">#REF!</definedName>
    <definedName name="TemplateEnd" localSheetId="6">#REF!</definedName>
    <definedName name="TemplateEnd" localSheetId="7">#REF!</definedName>
    <definedName name="TemplateEnd" localSheetId="8">#REF!</definedName>
    <definedName name="TemplateEnd" localSheetId="9">#REF!</definedName>
    <definedName name="TemplateEnd" localSheetId="10">#REF!</definedName>
    <definedName name="TemplateEnd" localSheetId="11">#REF!</definedName>
    <definedName name="TemplateEnd" localSheetId="4">#REF!</definedName>
    <definedName name="TemplateEnd">#REF!</definedName>
    <definedName name="TemplateStart" localSheetId="5">#REF!</definedName>
    <definedName name="TemplateStart" localSheetId="6">#REF!</definedName>
    <definedName name="TemplateStart" localSheetId="7">#REF!</definedName>
    <definedName name="TemplateStart" localSheetId="8">#REF!</definedName>
    <definedName name="TemplateStart" localSheetId="9">#REF!</definedName>
    <definedName name="TemplateStart" localSheetId="10">#REF!</definedName>
    <definedName name="TemplateStart" localSheetId="11">#REF!</definedName>
    <definedName name="TemplateStart" localSheetId="4">#REF!</definedName>
    <definedName name="TemplateStart">#REF!</definedName>
    <definedName name="TheTable" localSheetId="5">#REF!</definedName>
    <definedName name="TheTable" localSheetId="6">#REF!</definedName>
    <definedName name="TheTable" localSheetId="7">#REF!</definedName>
    <definedName name="TheTable" localSheetId="8">#REF!</definedName>
    <definedName name="TheTable" localSheetId="9">#REF!</definedName>
    <definedName name="TheTable" localSheetId="10">#REF!</definedName>
    <definedName name="TheTable" localSheetId="11">#REF!</definedName>
    <definedName name="TheTable" localSheetId="4">#REF!</definedName>
    <definedName name="TheTable">#REF!</definedName>
    <definedName name="TheTableOLD" localSheetId="5">#REF!</definedName>
    <definedName name="TheTableOLD" localSheetId="6">#REF!</definedName>
    <definedName name="TheTableOLD" localSheetId="7">#REF!</definedName>
    <definedName name="TheTableOLD" localSheetId="8">#REF!</definedName>
    <definedName name="TheTableOLD" localSheetId="9">#REF!</definedName>
    <definedName name="TheTableOLD" localSheetId="10">#REF!</definedName>
    <definedName name="TheTableOLD" localSheetId="11">#REF!</definedName>
    <definedName name="TheTableOLD" localSheetId="4">#REF!</definedName>
    <definedName name="TheTableOLD">#REF!</definedName>
    <definedName name="timeseries">[1]Orientation!$B$6:$C$13</definedName>
    <definedName name="Total_Comm">'[4]Tariff Rate Sheet'!$L$214</definedName>
    <definedName name="Total_DB">'[4]Tariff Rate Sheet'!$L$278</definedName>
    <definedName name="Total_Resi">'[4]Tariff Rate Sheet'!$L$107</definedName>
    <definedName name="Transactions" localSheetId="5">#REF!</definedName>
    <definedName name="Transactions" localSheetId="6">#REF!</definedName>
    <definedName name="Transactions" localSheetId="7">#REF!</definedName>
    <definedName name="Transactions" localSheetId="8">#REF!</definedName>
    <definedName name="Transactions" localSheetId="9">#REF!</definedName>
    <definedName name="Transactions" localSheetId="10">#REF!</definedName>
    <definedName name="Transactions" localSheetId="11">#REF!</definedName>
    <definedName name="Transactions" localSheetId="4">#REF!</definedName>
    <definedName name="Transactions">#REF!</definedName>
    <definedName name="WTable" localSheetId="5">#REF!</definedName>
    <definedName name="WTable" localSheetId="6">#REF!</definedName>
    <definedName name="WTable" localSheetId="7">#REF!</definedName>
    <definedName name="WTable" localSheetId="8">#REF!</definedName>
    <definedName name="WTable" localSheetId="9">#REF!</definedName>
    <definedName name="WTable" localSheetId="10">#REF!</definedName>
    <definedName name="WTable" localSheetId="11">#REF!</definedName>
    <definedName name="WTable" localSheetId="4">#REF!</definedName>
    <definedName name="WTable">#REF!</definedName>
    <definedName name="WTableOld" localSheetId="5">#REF!</definedName>
    <definedName name="WTableOld" localSheetId="6">#REF!</definedName>
    <definedName name="WTableOld" localSheetId="7">#REF!</definedName>
    <definedName name="WTableOld" localSheetId="8">#REF!</definedName>
    <definedName name="WTableOld" localSheetId="9">#REF!</definedName>
    <definedName name="WTableOld" localSheetId="10">#REF!</definedName>
    <definedName name="WTableOld" localSheetId="11">#REF!</definedName>
    <definedName name="WTableOld" localSheetId="4">#REF!</definedName>
    <definedName name="WTableOld">#REF!</definedName>
    <definedName name="ww">#REF!</definedName>
    <definedName name="xperiod">[1]Orientation!$G$15</definedName>
    <definedName name="xtabin" localSheetId="5">[2]Hidden!#REF!</definedName>
    <definedName name="xtabin" localSheetId="6">[2]Hidden!#REF!</definedName>
    <definedName name="xtabin" localSheetId="7">[2]Hidden!#REF!</definedName>
    <definedName name="xtabin" localSheetId="8">[2]Hidden!#REF!</definedName>
    <definedName name="xtabin" localSheetId="9">[2]Hidden!#REF!</definedName>
    <definedName name="xtabin" localSheetId="10">[2]Hidden!#REF!</definedName>
    <definedName name="xtabin" localSheetId="11">[2]Hidden!#REF!</definedName>
    <definedName name="xtabin" localSheetId="4">[2]Hidden!#REF!</definedName>
    <definedName name="xtabin">[2]Hidden!#REF!</definedName>
    <definedName name="xx" localSheetId="5">#REF!</definedName>
    <definedName name="xx" localSheetId="6">#REF!</definedName>
    <definedName name="xx" localSheetId="7">#REF!</definedName>
    <definedName name="xx" localSheetId="8">#REF!</definedName>
    <definedName name="xx" localSheetId="9">#REF!</definedName>
    <definedName name="xx" localSheetId="10">#REF!</definedName>
    <definedName name="xx" localSheetId="11">#REF!</definedName>
    <definedName name="xx" localSheetId="4">#REF!</definedName>
    <definedName name="xx">#REF!</definedName>
    <definedName name="xxx">#REF!</definedName>
    <definedName name="xxxx">#REF!</definedName>
    <definedName name="YearMonth" localSheetId="15">'IS 210 Apr-Jun'!$D$9</definedName>
    <definedName name="YearMonth" localSheetId="14">'IS 210 Jan-Mar'!$D$9</definedName>
    <definedName name="YearMonth" localSheetId="12">'IS 210 Jul-Sep'!$D$9</definedName>
    <definedName name="YearMonth" localSheetId="13">'IS 210 Oct-Dec'!$D$9</definedName>
    <definedName name="YearMonth">'[6]Vashon BS'!#REF!</definedName>
    <definedName name="YWMedWasteDisp">#N/A</definedName>
    <definedName name="yy">#REF!</definedName>
  </definedNames>
  <calcPr calcId="145621" concurrentManualCount="4"/>
</workbook>
</file>

<file path=xl/calcChain.xml><?xml version="1.0" encoding="utf-8"?>
<calcChain xmlns="http://schemas.openxmlformats.org/spreadsheetml/2006/main">
  <c r="B8" i="22" l="1"/>
  <c r="B9" i="24" l="1"/>
  <c r="F8" i="22" l="1"/>
  <c r="A3" i="22" l="1"/>
  <c r="AK28" i="11" l="1"/>
  <c r="AI28" i="11"/>
  <c r="AL36" i="10"/>
  <c r="AL37" i="10"/>
  <c r="AL38" i="10"/>
  <c r="X36" i="10"/>
  <c r="Y36" i="10"/>
  <c r="Z36" i="10"/>
  <c r="AA36" i="10"/>
  <c r="AJ36" i="10" s="1"/>
  <c r="AB36" i="10"/>
  <c r="AC36" i="10"/>
  <c r="AD36" i="10"/>
  <c r="AE36" i="10"/>
  <c r="AF36" i="10"/>
  <c r="AG36" i="10"/>
  <c r="AH36" i="10"/>
  <c r="AI36" i="10"/>
  <c r="X37" i="10"/>
  <c r="Y37" i="10"/>
  <c r="AJ37" i="10" s="1"/>
  <c r="Z37" i="10"/>
  <c r="AA37" i="10"/>
  <c r="AB37" i="10"/>
  <c r="AC37" i="10"/>
  <c r="AD37" i="10"/>
  <c r="AE37" i="10"/>
  <c r="AF37" i="10"/>
  <c r="AG37" i="10"/>
  <c r="AH37" i="10"/>
  <c r="AI37" i="10"/>
  <c r="X38" i="10"/>
  <c r="Y38" i="10"/>
  <c r="Z38" i="10"/>
  <c r="AA38" i="10"/>
  <c r="AB38" i="10"/>
  <c r="AC38" i="10"/>
  <c r="AJ38" i="10" s="1"/>
  <c r="AD38" i="10"/>
  <c r="AE38" i="10"/>
  <c r="AF38" i="10"/>
  <c r="AG38" i="10"/>
  <c r="AH38" i="10"/>
  <c r="AI38" i="10"/>
  <c r="AJ20" i="3"/>
  <c r="X16" i="3"/>
  <c r="Y16" i="3"/>
  <c r="Z16" i="3"/>
  <c r="AJ16" i="3" s="1"/>
  <c r="AA16" i="3"/>
  <c r="AB16" i="3"/>
  <c r="AC16" i="3"/>
  <c r="AD16" i="3"/>
  <c r="AE16" i="3"/>
  <c r="AF16" i="3"/>
  <c r="AG16" i="3"/>
  <c r="AH16" i="3"/>
  <c r="AI16" i="3"/>
  <c r="M142" i="2"/>
  <c r="K142" i="2"/>
  <c r="J142" i="2"/>
  <c r="M115" i="2"/>
  <c r="K115" i="2"/>
  <c r="J115" i="2"/>
  <c r="J114" i="2"/>
  <c r="K114" i="2" s="1"/>
  <c r="L86" i="1"/>
  <c r="K86" i="1"/>
  <c r="O86" i="1" s="1"/>
  <c r="K74" i="1"/>
  <c r="L74" i="1"/>
  <c r="M74" i="1"/>
  <c r="O74" i="1"/>
  <c r="K28" i="1"/>
  <c r="K29" i="1"/>
  <c r="K30" i="1"/>
  <c r="K31" i="1"/>
  <c r="K42" i="2"/>
  <c r="J40" i="2"/>
  <c r="M40" i="2"/>
  <c r="K40" i="2"/>
  <c r="K22" i="1"/>
  <c r="K23" i="1"/>
  <c r="K24" i="1"/>
  <c r="K25" i="1"/>
  <c r="K26" i="1"/>
  <c r="K27" i="1"/>
  <c r="M14" i="15"/>
  <c r="M15" i="15"/>
  <c r="M16" i="15"/>
  <c r="M17" i="15"/>
  <c r="V65" i="14"/>
  <c r="AB48" i="14"/>
  <c r="Z47" i="14"/>
  <c r="AB46" i="14"/>
  <c r="AB44" i="14"/>
  <c r="Z43" i="14"/>
  <c r="AB42" i="14"/>
  <c r="AB40" i="14"/>
  <c r="Z39" i="14"/>
  <c r="Z38" i="14"/>
  <c r="AD36" i="14"/>
  <c r="AA35" i="14"/>
  <c r="AH34" i="14"/>
  <c r="AG32" i="14"/>
  <c r="T65" i="14"/>
  <c r="S65" i="14"/>
  <c r="R65" i="14"/>
  <c r="Q65" i="14"/>
  <c r="P65" i="14"/>
  <c r="O65" i="14"/>
  <c r="N65" i="14"/>
  <c r="G65" i="14"/>
  <c r="H65" i="14"/>
  <c r="I65" i="14"/>
  <c r="J65" i="14"/>
  <c r="K65" i="14"/>
  <c r="L65" i="14"/>
  <c r="F65" i="14"/>
  <c r="AH29" i="13"/>
  <c r="AF29" i="13"/>
  <c r="AE29" i="13"/>
  <c r="AD29" i="13"/>
  <c r="AB29" i="13"/>
  <c r="AA29" i="13"/>
  <c r="Z29" i="13"/>
  <c r="X29" i="13"/>
  <c r="W29" i="13"/>
  <c r="AH28" i="13"/>
  <c r="AE28" i="13"/>
  <c r="AD28" i="13"/>
  <c r="AA28" i="13"/>
  <c r="Z28" i="13"/>
  <c r="W28" i="13"/>
  <c r="AE26" i="13"/>
  <c r="AA26" i="13"/>
  <c r="W26" i="13"/>
  <c r="AD13" i="13"/>
  <c r="AE13" i="13"/>
  <c r="AF13" i="13"/>
  <c r="AH13" i="13"/>
  <c r="AD14" i="13"/>
  <c r="AE14" i="13"/>
  <c r="AH14" i="13"/>
  <c r="AF16" i="13"/>
  <c r="AD17" i="13"/>
  <c r="AE17" i="13"/>
  <c r="AF17" i="13"/>
  <c r="AH17" i="13"/>
  <c r="AD18" i="13"/>
  <c r="AE18" i="13"/>
  <c r="AH18" i="13"/>
  <c r="X13" i="13"/>
  <c r="Y13" i="13"/>
  <c r="Z13" i="13"/>
  <c r="AB13" i="13"/>
  <c r="X14" i="13"/>
  <c r="Y14" i="13"/>
  <c r="AB14" i="13"/>
  <c r="Z16" i="13"/>
  <c r="X17" i="13"/>
  <c r="Y17" i="13"/>
  <c r="Z17" i="13"/>
  <c r="AB17" i="13"/>
  <c r="X18" i="13"/>
  <c r="Y18" i="13"/>
  <c r="AB18" i="13"/>
  <c r="AG29" i="13"/>
  <c r="AF28" i="13"/>
  <c r="AF26" i="13"/>
  <c r="AG13" i="13"/>
  <c r="AG14" i="13"/>
  <c r="AE16" i="13"/>
  <c r="AG17" i="13"/>
  <c r="AG18" i="13"/>
  <c r="AF12" i="13"/>
  <c r="AH28" i="11"/>
  <c r="AG28" i="11"/>
  <c r="AF28" i="11"/>
  <c r="AE28" i="11"/>
  <c r="AD28" i="11"/>
  <c r="AC28" i="11"/>
  <c r="AB28" i="11"/>
  <c r="AA28" i="11"/>
  <c r="Z28" i="11"/>
  <c r="Y28" i="11"/>
  <c r="X28" i="11"/>
  <c r="W28" i="11"/>
  <c r="AG27" i="11"/>
  <c r="AF27" i="11"/>
  <c r="AE27" i="11"/>
  <c r="AC27" i="11"/>
  <c r="AB27" i="11"/>
  <c r="AA27" i="11"/>
  <c r="Y27" i="11"/>
  <c r="X27" i="11"/>
  <c r="W27" i="11"/>
  <c r="AF26" i="11"/>
  <c r="AE26" i="11"/>
  <c r="AB26" i="11"/>
  <c r="AA26" i="11"/>
  <c r="X26" i="11"/>
  <c r="W26" i="11"/>
  <c r="AB25" i="11"/>
  <c r="AG23" i="11"/>
  <c r="AF23" i="11"/>
  <c r="AE23" i="11"/>
  <c r="AC23" i="11"/>
  <c r="AB23" i="11"/>
  <c r="AA23" i="11"/>
  <c r="Y23" i="11"/>
  <c r="X23" i="11"/>
  <c r="W23" i="11"/>
  <c r="AF22" i="11"/>
  <c r="AE22" i="11"/>
  <c r="AB22" i="11"/>
  <c r="AA22" i="11"/>
  <c r="X22" i="11"/>
  <c r="W22" i="11"/>
  <c r="AD12" i="11"/>
  <c r="AF12" i="11"/>
  <c r="AG12" i="11"/>
  <c r="AH12" i="11"/>
  <c r="X12" i="11"/>
  <c r="Y12" i="11"/>
  <c r="Z12" i="11"/>
  <c r="AB12" i="11"/>
  <c r="X13" i="11"/>
  <c r="W12" i="11"/>
  <c r="AH27" i="11"/>
  <c r="AG26" i="11"/>
  <c r="AE25" i="11"/>
  <c r="AH23" i="11"/>
  <c r="AG22" i="11"/>
  <c r="AG13" i="11"/>
  <c r="AE12" i="11"/>
  <c r="AI34" i="10"/>
  <c r="AH34" i="10"/>
  <c r="AG34" i="10"/>
  <c r="AE34" i="10"/>
  <c r="AD34" i="10"/>
  <c r="AC34" i="10"/>
  <c r="AA34" i="10"/>
  <c r="Z34" i="10"/>
  <c r="Y34" i="10"/>
  <c r="AI30" i="10"/>
  <c r="AH30" i="10"/>
  <c r="AG30" i="10"/>
  <c r="AE30" i="10"/>
  <c r="AD30" i="10"/>
  <c r="AC30" i="10"/>
  <c r="AA30" i="10"/>
  <c r="Z30" i="10"/>
  <c r="Y30" i="10"/>
  <c r="X15" i="10"/>
  <c r="Y15" i="10"/>
  <c r="AA15" i="10"/>
  <c r="AB15" i="10"/>
  <c r="AC15" i="10"/>
  <c r="AE15" i="10"/>
  <c r="AF15" i="10"/>
  <c r="AG15" i="10"/>
  <c r="AI15" i="10"/>
  <c r="AE12" i="10"/>
  <c r="AF12" i="10"/>
  <c r="AG12" i="10"/>
  <c r="AI12" i="10"/>
  <c r="AD12" i="10"/>
  <c r="Y12" i="10"/>
  <c r="AA12" i="10"/>
  <c r="AB12" i="10"/>
  <c r="AC12" i="10"/>
  <c r="AF34" i="10"/>
  <c r="AG33" i="10"/>
  <c r="AG32" i="10"/>
  <c r="AF30" i="10"/>
  <c r="AG29" i="10"/>
  <c r="AA13" i="10"/>
  <c r="Z15" i="10"/>
  <c r="AA16" i="10"/>
  <c r="Z17" i="10"/>
  <c r="AH12" i="10"/>
  <c r="G50" i="10"/>
  <c r="H50" i="10"/>
  <c r="I50" i="10"/>
  <c r="J50" i="10"/>
  <c r="K50" i="10"/>
  <c r="M50" i="10"/>
  <c r="N50" i="10"/>
  <c r="O50" i="10"/>
  <c r="P50" i="10"/>
  <c r="Q50" i="10"/>
  <c r="R50" i="10"/>
  <c r="S50" i="10"/>
  <c r="F50" i="10"/>
  <c r="AE12" i="9"/>
  <c r="AF12" i="9"/>
  <c r="AG12" i="9"/>
  <c r="AH12" i="9"/>
  <c r="AI12" i="9"/>
  <c r="AE13" i="9"/>
  <c r="AF13" i="9"/>
  <c r="AG13" i="9"/>
  <c r="AH13" i="9"/>
  <c r="AI13" i="9"/>
  <c r="AD13" i="9"/>
  <c r="AD12" i="9"/>
  <c r="Y12" i="9"/>
  <c r="Z12" i="9"/>
  <c r="AA12" i="9"/>
  <c r="AB12" i="9"/>
  <c r="AC12" i="9"/>
  <c r="Y13" i="9"/>
  <c r="Z13" i="9"/>
  <c r="AA13" i="9"/>
  <c r="AB13" i="9"/>
  <c r="AC13" i="9"/>
  <c r="X13" i="9"/>
  <c r="X12" i="9"/>
  <c r="S18" i="9"/>
  <c r="R18" i="9"/>
  <c r="Q18" i="9"/>
  <c r="P18" i="9"/>
  <c r="O18" i="9"/>
  <c r="N18" i="9"/>
  <c r="K18" i="9"/>
  <c r="J18" i="9"/>
  <c r="I18" i="9"/>
  <c r="H18" i="9"/>
  <c r="G18" i="9"/>
  <c r="F18" i="9"/>
  <c r="AG33" i="8"/>
  <c r="AD32" i="8"/>
  <c r="AG31" i="8"/>
  <c r="AG29" i="8"/>
  <c r="AG28" i="8"/>
  <c r="AF27" i="8"/>
  <c r="AD13" i="8"/>
  <c r="AF14" i="8"/>
  <c r="AD15" i="8"/>
  <c r="AF16" i="8"/>
  <c r="AE12" i="8"/>
  <c r="R42" i="8"/>
  <c r="X19" i="8" l="1"/>
  <c r="AB19" i="8"/>
  <c r="AF19" i="8"/>
  <c r="Y19" i="8"/>
  <c r="AC19" i="8"/>
  <c r="AG19" i="8"/>
  <c r="Z19" i="8"/>
  <c r="AD19" i="8"/>
  <c r="AH19" i="8"/>
  <c r="AA19" i="8"/>
  <c r="AE19" i="8"/>
  <c r="AI19" i="8"/>
  <c r="X18" i="8"/>
  <c r="AB18" i="8"/>
  <c r="AF18" i="8"/>
  <c r="Y18" i="8"/>
  <c r="AC18" i="8"/>
  <c r="AG18" i="8"/>
  <c r="Z18" i="8"/>
  <c r="AD18" i="8"/>
  <c r="AH18" i="8"/>
  <c r="AA18" i="8"/>
  <c r="AE18" i="8"/>
  <c r="AI18" i="8"/>
  <c r="X17" i="8"/>
  <c r="AB17" i="8"/>
  <c r="AF17" i="8"/>
  <c r="Y17" i="8"/>
  <c r="AC17" i="8"/>
  <c r="AG17" i="8"/>
  <c r="Z17" i="8"/>
  <c r="AD17" i="8"/>
  <c r="AH17" i="8"/>
  <c r="AA17" i="8"/>
  <c r="AE17" i="8"/>
  <c r="AI17" i="8"/>
  <c r="AE30" i="8"/>
  <c r="AI30" i="8"/>
  <c r="AA34" i="8"/>
  <c r="AE34" i="8"/>
  <c r="AI34" i="8"/>
  <c r="X34" i="8"/>
  <c r="AB34" i="8"/>
  <c r="AF34" i="8"/>
  <c r="Y34" i="8"/>
  <c r="AC34" i="8"/>
  <c r="AG34" i="8"/>
  <c r="Z34" i="8"/>
  <c r="AD34" i="8"/>
  <c r="AH34" i="8"/>
  <c r="AB12" i="8"/>
  <c r="AC16" i="8"/>
  <c r="Y16" i="8"/>
  <c r="AA15" i="8"/>
  <c r="AC14" i="8"/>
  <c r="Y14" i="8"/>
  <c r="AA13" i="8"/>
  <c r="AH12" i="8"/>
  <c r="AI16" i="8"/>
  <c r="AE16" i="8"/>
  <c r="AG15" i="8"/>
  <c r="AI14" i="8"/>
  <c r="AE14" i="8"/>
  <c r="AG13" i="8"/>
  <c r="AD27" i="8"/>
  <c r="AE27" i="8"/>
  <c r="AE33" i="8"/>
  <c r="AF32" i="8"/>
  <c r="AF31" i="8"/>
  <c r="AG30" i="8"/>
  <c r="AH29" i="8"/>
  <c r="AH28" i="8"/>
  <c r="Z18" i="10"/>
  <c r="AD18" i="10"/>
  <c r="AH18" i="10"/>
  <c r="X18" i="10"/>
  <c r="AA18" i="10"/>
  <c r="AE18" i="10"/>
  <c r="AI18" i="10"/>
  <c r="AB18" i="10"/>
  <c r="AF18" i="10"/>
  <c r="Y18" i="10"/>
  <c r="AC18" i="10"/>
  <c r="AG18" i="10"/>
  <c r="Z14" i="10"/>
  <c r="AD14" i="10"/>
  <c r="AH14" i="10"/>
  <c r="AF31" i="10"/>
  <c r="AB31" i="10"/>
  <c r="X31" i="10"/>
  <c r="Y35" i="10"/>
  <c r="AC35" i="10"/>
  <c r="AG35" i="10"/>
  <c r="Z35" i="10"/>
  <c r="AD35" i="10"/>
  <c r="AH35" i="10"/>
  <c r="AA35" i="10"/>
  <c r="AE35" i="10"/>
  <c r="AI35" i="10"/>
  <c r="X35" i="10"/>
  <c r="AB35" i="10"/>
  <c r="AF35" i="10"/>
  <c r="AE17" i="10"/>
  <c r="AG16" i="10"/>
  <c r="AB16" i="10"/>
  <c r="AE14" i="10"/>
  <c r="Y14" i="10"/>
  <c r="AF13" i="10"/>
  <c r="Z29" i="10"/>
  <c r="AE29" i="10"/>
  <c r="AC31" i="10"/>
  <c r="AH31" i="10"/>
  <c r="AA32" i="10"/>
  <c r="Z33" i="10"/>
  <c r="AE33" i="10"/>
  <c r="AD14" i="11"/>
  <c r="AH14" i="11"/>
  <c r="Z14" i="11"/>
  <c r="W14" i="11"/>
  <c r="AG14" i="11"/>
  <c r="Y14" i="11"/>
  <c r="AG24" i="11"/>
  <c r="AC24" i="11"/>
  <c r="Y24" i="11"/>
  <c r="AH24" i="11"/>
  <c r="AD24" i="11"/>
  <c r="Z24" i="11"/>
  <c r="AG29" i="11"/>
  <c r="AC29" i="11"/>
  <c r="Y29" i="11"/>
  <c r="AH29" i="11"/>
  <c r="AD29" i="11"/>
  <c r="Z29" i="11"/>
  <c r="X14" i="11"/>
  <c r="AC14" i="11"/>
  <c r="AA24" i="11"/>
  <c r="W25" i="11"/>
  <c r="AB29" i="11"/>
  <c r="AF19" i="13"/>
  <c r="Z19" i="13"/>
  <c r="AD19" i="13"/>
  <c r="AH19" i="13"/>
  <c r="X19" i="13"/>
  <c r="AB19" i="13"/>
  <c r="AE19" i="13"/>
  <c r="Y19" i="13"/>
  <c r="AF15" i="13"/>
  <c r="Z15" i="13"/>
  <c r="AD15" i="13"/>
  <c r="AH15" i="13"/>
  <c r="X15" i="13"/>
  <c r="AB15" i="13"/>
  <c r="AE15" i="13"/>
  <c r="Y15" i="13"/>
  <c r="AF27" i="13"/>
  <c r="AB27" i="13"/>
  <c r="X27" i="13"/>
  <c r="AH27" i="13"/>
  <c r="AD27" i="13"/>
  <c r="Z27" i="13"/>
  <c r="AG27" i="13"/>
  <c r="AC27" i="13"/>
  <c r="Y27" i="13"/>
  <c r="W15" i="13"/>
  <c r="AC15" i="13"/>
  <c r="AE27" i="13"/>
  <c r="AA35" i="8"/>
  <c r="AE35" i="8"/>
  <c r="AI35" i="8"/>
  <c r="X35" i="8"/>
  <c r="AB35" i="8"/>
  <c r="AF35" i="8"/>
  <c r="Y35" i="8"/>
  <c r="AC35" i="8"/>
  <c r="AG35" i="8"/>
  <c r="Z35" i="8"/>
  <c r="AD35" i="8"/>
  <c r="AH35" i="8"/>
  <c r="AA12" i="8"/>
  <c r="AB16" i="8"/>
  <c r="X16" i="8"/>
  <c r="AL16" i="8" s="1"/>
  <c r="Z15" i="8"/>
  <c r="AB14" i="8"/>
  <c r="X14" i="8"/>
  <c r="Z13" i="8"/>
  <c r="AG12" i="8"/>
  <c r="AH16" i="8"/>
  <c r="AD16" i="8"/>
  <c r="AF15" i="8"/>
  <c r="AH14" i="8"/>
  <c r="AD14" i="8"/>
  <c r="AF13" i="8"/>
  <c r="AI27" i="8"/>
  <c r="AI33" i="8"/>
  <c r="AD33" i="8"/>
  <c r="AE31" i="8"/>
  <c r="AF30" i="8"/>
  <c r="AF29" i="8"/>
  <c r="X21" i="10"/>
  <c r="Y21" i="10"/>
  <c r="AC21" i="10"/>
  <c r="AG21" i="10"/>
  <c r="Z21" i="10"/>
  <c r="AD21" i="10"/>
  <c r="AH21" i="10"/>
  <c r="AA21" i="10"/>
  <c r="AE21" i="10"/>
  <c r="AI21" i="10"/>
  <c r="AB21" i="10"/>
  <c r="AF21" i="10"/>
  <c r="Y17" i="10"/>
  <c r="AC17" i="10"/>
  <c r="AG17" i="10"/>
  <c r="Z13" i="10"/>
  <c r="AD13" i="10"/>
  <c r="AH13" i="10"/>
  <c r="AF32" i="10"/>
  <c r="AB32" i="10"/>
  <c r="X32" i="10"/>
  <c r="Y39" i="10"/>
  <c r="AC39" i="10"/>
  <c r="AG39" i="10"/>
  <c r="Z39" i="10"/>
  <c r="AD39" i="10"/>
  <c r="AH39" i="10"/>
  <c r="AA39" i="10"/>
  <c r="AE39" i="10"/>
  <c r="AI39" i="10"/>
  <c r="X39" i="10"/>
  <c r="AB39" i="10"/>
  <c r="AF39" i="10"/>
  <c r="AI17" i="10"/>
  <c r="AD17" i="10"/>
  <c r="X17" i="10"/>
  <c r="AF16" i="10"/>
  <c r="AI14" i="10"/>
  <c r="AC14" i="10"/>
  <c r="X14" i="10"/>
  <c r="AE13" i="10"/>
  <c r="Y13" i="10"/>
  <c r="AA29" i="10"/>
  <c r="Y31" i="10"/>
  <c r="AD31" i="10"/>
  <c r="AI31" i="10"/>
  <c r="AC32" i="10"/>
  <c r="AH32" i="10"/>
  <c r="AA33" i="10"/>
  <c r="AE13" i="11"/>
  <c r="AA13" i="11"/>
  <c r="AD13" i="11"/>
  <c r="AH13" i="11"/>
  <c r="Z13" i="11"/>
  <c r="W13" i="11"/>
  <c r="AG25" i="11"/>
  <c r="AC25" i="11"/>
  <c r="Y25" i="11"/>
  <c r="AH25" i="11"/>
  <c r="AD25" i="11"/>
  <c r="Z25" i="11"/>
  <c r="AB13" i="11"/>
  <c r="AC13" i="11"/>
  <c r="AF13" i="11"/>
  <c r="AB24" i="11"/>
  <c r="X25" i="11"/>
  <c r="AF25" i="11"/>
  <c r="W29" i="11"/>
  <c r="AE29" i="11"/>
  <c r="AA19" i="13"/>
  <c r="AG19" i="13"/>
  <c r="AE28" i="8"/>
  <c r="AI28" i="8"/>
  <c r="AE32" i="8"/>
  <c r="AI32" i="8"/>
  <c r="X12" i="8"/>
  <c r="Z12" i="8"/>
  <c r="AA16" i="8"/>
  <c r="AC15" i="8"/>
  <c r="Y15" i="8"/>
  <c r="AA14" i="8"/>
  <c r="AC13" i="8"/>
  <c r="Y13" i="8"/>
  <c r="AD12" i="8"/>
  <c r="AF12" i="8"/>
  <c r="AG16" i="8"/>
  <c r="AI15" i="8"/>
  <c r="AE15" i="8"/>
  <c r="AG14" i="8"/>
  <c r="AI13" i="8"/>
  <c r="AE13" i="8"/>
  <c r="AH27" i="8"/>
  <c r="AH33" i="8"/>
  <c r="AH32" i="8"/>
  <c r="AI31" i="8"/>
  <c r="AD31" i="8"/>
  <c r="AD30" i="8"/>
  <c r="AE29" i="8"/>
  <c r="AF28" i="8"/>
  <c r="AB20" i="10"/>
  <c r="AF20" i="10"/>
  <c r="Y20" i="10"/>
  <c r="AC20" i="10"/>
  <c r="AG20" i="10"/>
  <c r="Z20" i="10"/>
  <c r="AD20" i="10"/>
  <c r="AH20" i="10"/>
  <c r="X20" i="10"/>
  <c r="AA20" i="10"/>
  <c r="AE20" i="10"/>
  <c r="AI20" i="10"/>
  <c r="Z16" i="10"/>
  <c r="AD16" i="10"/>
  <c r="AH16" i="10"/>
  <c r="AF29" i="10"/>
  <c r="AB29" i="10"/>
  <c r="X29" i="10"/>
  <c r="AF33" i="10"/>
  <c r="AB33" i="10"/>
  <c r="X33" i="10"/>
  <c r="AH17" i="10"/>
  <c r="AB17" i="10"/>
  <c r="AE16" i="10"/>
  <c r="Y16" i="10"/>
  <c r="AG14" i="10"/>
  <c r="AB14" i="10"/>
  <c r="AI13" i="10"/>
  <c r="AC13" i="10"/>
  <c r="X13" i="10"/>
  <c r="AC29" i="10"/>
  <c r="AH29" i="10"/>
  <c r="Z31" i="10"/>
  <c r="AE31" i="10"/>
  <c r="Y32" i="10"/>
  <c r="AD32" i="10"/>
  <c r="AI32" i="10"/>
  <c r="AC33" i="10"/>
  <c r="AH33" i="10"/>
  <c r="AB14" i="11"/>
  <c r="Y13" i="11"/>
  <c r="AF14" i="11"/>
  <c r="AI27" i="11"/>
  <c r="W24" i="11"/>
  <c r="AE24" i="11"/>
  <c r="AA25" i="11"/>
  <c r="X29" i="11"/>
  <c r="AF29" i="11"/>
  <c r="AA15" i="13"/>
  <c r="Z12" i="13"/>
  <c r="AG15" i="13"/>
  <c r="W27" i="13"/>
  <c r="AC12" i="8"/>
  <c r="Y12" i="8"/>
  <c r="Z16" i="8"/>
  <c r="AB15" i="8"/>
  <c r="X15" i="8"/>
  <c r="Z14" i="8"/>
  <c r="AB13" i="8"/>
  <c r="X13" i="8"/>
  <c r="AI12" i="8"/>
  <c r="AH15" i="8"/>
  <c r="AH13" i="8"/>
  <c r="AG27" i="8"/>
  <c r="AF33" i="8"/>
  <c r="AG32" i="8"/>
  <c r="AH31" i="8"/>
  <c r="AH30" i="8"/>
  <c r="AI29" i="8"/>
  <c r="AD29" i="8"/>
  <c r="AD28" i="8"/>
  <c r="AF17" i="10"/>
  <c r="AA17" i="10"/>
  <c r="AI16" i="10"/>
  <c r="AC16" i="10"/>
  <c r="X16" i="10"/>
  <c r="AJ15" i="10"/>
  <c r="AF14" i="10"/>
  <c r="AA14" i="10"/>
  <c r="AG13" i="10"/>
  <c r="AB13" i="10"/>
  <c r="Y29" i="10"/>
  <c r="AD29" i="10"/>
  <c r="AI29" i="10"/>
  <c r="AA31" i="10"/>
  <c r="AG31" i="10"/>
  <c r="Z32" i="10"/>
  <c r="AE32" i="10"/>
  <c r="Y33" i="10"/>
  <c r="AD33" i="10"/>
  <c r="AI33" i="10"/>
  <c r="AA14" i="11"/>
  <c r="AE14" i="11"/>
  <c r="X24" i="11"/>
  <c r="AF24" i="11"/>
  <c r="AA29" i="11"/>
  <c r="AE12" i="13"/>
  <c r="Y12" i="13"/>
  <c r="AG12" i="13"/>
  <c r="AC12" i="13"/>
  <c r="AA12" i="13"/>
  <c r="W12" i="13"/>
  <c r="AD12" i="13"/>
  <c r="AH12" i="13"/>
  <c r="X12" i="13"/>
  <c r="AB12" i="13"/>
  <c r="W19" i="13"/>
  <c r="AC19" i="13"/>
  <c r="AA27" i="13"/>
  <c r="AA19" i="10"/>
  <c r="AE19" i="10"/>
  <c r="AI19" i="10"/>
  <c r="AB19" i="10"/>
  <c r="AF19" i="10"/>
  <c r="X19" i="10"/>
  <c r="Y19" i="10"/>
  <c r="AC19" i="10"/>
  <c r="AG19" i="10"/>
  <c r="Z19" i="10"/>
  <c r="AD19" i="10"/>
  <c r="AH19" i="10"/>
  <c r="X12" i="10"/>
  <c r="Z12" i="10"/>
  <c r="AH15" i="10"/>
  <c r="AD15" i="10"/>
  <c r="AL15" i="10" s="1"/>
  <c r="X30" i="10"/>
  <c r="AB30" i="10"/>
  <c r="X34" i="10"/>
  <c r="AB34" i="10"/>
  <c r="AA12" i="11"/>
  <c r="AK12" i="11" s="1"/>
  <c r="AC12" i="11"/>
  <c r="Z22" i="11"/>
  <c r="AD22" i="11"/>
  <c r="AH22" i="11"/>
  <c r="Z23" i="11"/>
  <c r="AI23" i="11" s="1"/>
  <c r="AD23" i="11"/>
  <c r="Z26" i="11"/>
  <c r="AD26" i="11"/>
  <c r="AH26" i="11"/>
  <c r="Z27" i="11"/>
  <c r="AK27" i="11" s="1"/>
  <c r="AD27" i="11"/>
  <c r="W17" i="13"/>
  <c r="W13" i="13"/>
  <c r="Z18" i="13"/>
  <c r="AA17" i="13"/>
  <c r="AB16" i="13"/>
  <c r="X16" i="13"/>
  <c r="Z14" i="13"/>
  <c r="AA13" i="13"/>
  <c r="AC17" i="13"/>
  <c r="AC13" i="13"/>
  <c r="AF18" i="13"/>
  <c r="AH16" i="13"/>
  <c r="AD16" i="13"/>
  <c r="AF14" i="13"/>
  <c r="Y26" i="13"/>
  <c r="AC26" i="13"/>
  <c r="AG26" i="13"/>
  <c r="Y28" i="13"/>
  <c r="AC28" i="13"/>
  <c r="AG28" i="13"/>
  <c r="Y29" i="13"/>
  <c r="AK29" i="13" s="1"/>
  <c r="AC29" i="13"/>
  <c r="AF19" i="14"/>
  <c r="AB19" i="14"/>
  <c r="X19" i="14"/>
  <c r="AI19" i="14"/>
  <c r="AE19" i="14"/>
  <c r="AA19" i="14"/>
  <c r="AD19" i="14"/>
  <c r="AC19" i="14"/>
  <c r="AH19" i="14"/>
  <c r="Z19" i="14"/>
  <c r="AG19" i="14"/>
  <c r="Y19" i="14"/>
  <c r="AF15" i="14"/>
  <c r="AB15" i="14"/>
  <c r="X15" i="14"/>
  <c r="AI15" i="14"/>
  <c r="AE15" i="14"/>
  <c r="AA15" i="14"/>
  <c r="AH15" i="14"/>
  <c r="AD15" i="14"/>
  <c r="Z15" i="14"/>
  <c r="AG15" i="14"/>
  <c r="AC15" i="14"/>
  <c r="Y15" i="14"/>
  <c r="Z33" i="14"/>
  <c r="AD33" i="14"/>
  <c r="AH33" i="14"/>
  <c r="X33" i="14"/>
  <c r="AB33" i="14"/>
  <c r="AF33" i="14"/>
  <c r="Y33" i="14"/>
  <c r="AC33" i="14"/>
  <c r="AG33" i="14"/>
  <c r="X37" i="14"/>
  <c r="AB37" i="14"/>
  <c r="AF37" i="14"/>
  <c r="Y37" i="14"/>
  <c r="AC37" i="14"/>
  <c r="AG37" i="14"/>
  <c r="Y41" i="14"/>
  <c r="AC41" i="14"/>
  <c r="AG41" i="14"/>
  <c r="Y45" i="14"/>
  <c r="AC45" i="14"/>
  <c r="AG45" i="14"/>
  <c r="Y49" i="14"/>
  <c r="AC49" i="14"/>
  <c r="AG49" i="14"/>
  <c r="AC32" i="14"/>
  <c r="AI32" i="14"/>
  <c r="AI49" i="14"/>
  <c r="AD49" i="14"/>
  <c r="X49" i="14"/>
  <c r="AE48" i="14"/>
  <c r="Z48" i="14"/>
  <c r="AF47" i="14"/>
  <c r="AA47" i="14"/>
  <c r="AH46" i="14"/>
  <c r="AI45" i="14"/>
  <c r="AD45" i="14"/>
  <c r="X45" i="14"/>
  <c r="AE44" i="14"/>
  <c r="Z44" i="14"/>
  <c r="AF43" i="14"/>
  <c r="AA43" i="14"/>
  <c r="AH42" i="14"/>
  <c r="AI41" i="14"/>
  <c r="AD41" i="14"/>
  <c r="X41" i="14"/>
  <c r="AE40" i="14"/>
  <c r="Z40" i="14"/>
  <c r="AF39" i="14"/>
  <c r="AA39" i="14"/>
  <c r="AH38" i="14"/>
  <c r="AD37" i="14"/>
  <c r="AH36" i="14"/>
  <c r="Z36" i="14"/>
  <c r="AD35" i="14"/>
  <c r="AE33" i="14"/>
  <c r="W16" i="13"/>
  <c r="AA16" i="13"/>
  <c r="AC16" i="13"/>
  <c r="AG16" i="13"/>
  <c r="Z26" i="13"/>
  <c r="AD26" i="13"/>
  <c r="AH26" i="13"/>
  <c r="AF12" i="14"/>
  <c r="AB12" i="14"/>
  <c r="X12" i="14"/>
  <c r="AI12" i="14"/>
  <c r="AE12" i="14"/>
  <c r="AA12" i="14"/>
  <c r="AH12" i="14"/>
  <c r="AD12" i="14"/>
  <c r="Z12" i="14"/>
  <c r="AG12" i="14"/>
  <c r="AC12" i="14"/>
  <c r="Y12" i="14"/>
  <c r="AF22" i="14"/>
  <c r="AB22" i="14"/>
  <c r="X22" i="14"/>
  <c r="AI22" i="14"/>
  <c r="AE22" i="14"/>
  <c r="AA22" i="14"/>
  <c r="AH22" i="14"/>
  <c r="Z22" i="14"/>
  <c r="AG22" i="14"/>
  <c r="Y22" i="14"/>
  <c r="AD22" i="14"/>
  <c r="AC22" i="14"/>
  <c r="AF18" i="14"/>
  <c r="AB18" i="14"/>
  <c r="X18" i="14"/>
  <c r="AI18" i="14"/>
  <c r="AE18" i="14"/>
  <c r="AA18" i="14"/>
  <c r="AH18" i="14"/>
  <c r="Z18" i="14"/>
  <c r="AG18" i="14"/>
  <c r="Y18" i="14"/>
  <c r="AD18" i="14"/>
  <c r="AC18" i="14"/>
  <c r="AF14" i="14"/>
  <c r="AB14" i="14"/>
  <c r="X14" i="14"/>
  <c r="AI14" i="14"/>
  <c r="AE14" i="14"/>
  <c r="AA14" i="14"/>
  <c r="AH14" i="14"/>
  <c r="AD14" i="14"/>
  <c r="Z14" i="14"/>
  <c r="AG14" i="14"/>
  <c r="AC14" i="14"/>
  <c r="Y14" i="14"/>
  <c r="Z34" i="14"/>
  <c r="AD34" i="14"/>
  <c r="X34" i="14"/>
  <c r="AB34" i="14"/>
  <c r="AF34" i="14"/>
  <c r="Y34" i="14"/>
  <c r="AC34" i="14"/>
  <c r="AG34" i="14"/>
  <c r="X38" i="14"/>
  <c r="AB38" i="14"/>
  <c r="AF38" i="14"/>
  <c r="Y38" i="14"/>
  <c r="AC38" i="14"/>
  <c r="AG38" i="14"/>
  <c r="Y42" i="14"/>
  <c r="AC42" i="14"/>
  <c r="AG42" i="14"/>
  <c r="Y46" i="14"/>
  <c r="AC46" i="14"/>
  <c r="AG46" i="14"/>
  <c r="AA32" i="14"/>
  <c r="AH32" i="14"/>
  <c r="AH49" i="14"/>
  <c r="AB49" i="14"/>
  <c r="AI48" i="14"/>
  <c r="AD48" i="14"/>
  <c r="X48" i="14"/>
  <c r="AE47" i="14"/>
  <c r="AF46" i="14"/>
  <c r="AA46" i="14"/>
  <c r="AH45" i="14"/>
  <c r="AB45" i="14"/>
  <c r="AI44" i="14"/>
  <c r="AD44" i="14"/>
  <c r="X44" i="14"/>
  <c r="AE43" i="14"/>
  <c r="AF42" i="14"/>
  <c r="AA42" i="14"/>
  <c r="AH41" i="14"/>
  <c r="AB41" i="14"/>
  <c r="AI40" i="14"/>
  <c r="AD40" i="14"/>
  <c r="X40" i="14"/>
  <c r="AE39" i="14"/>
  <c r="AE38" i="14"/>
  <c r="AI37" i="14"/>
  <c r="AA37" i="14"/>
  <c r="AE36" i="14"/>
  <c r="AI35" i="14"/>
  <c r="AE34" i="14"/>
  <c r="AA33" i="14"/>
  <c r="AF21" i="14"/>
  <c r="AB21" i="14"/>
  <c r="X21" i="14"/>
  <c r="AI21" i="14"/>
  <c r="AE21" i="14"/>
  <c r="AA21" i="14"/>
  <c r="AD21" i="14"/>
  <c r="AC21" i="14"/>
  <c r="AH21" i="14"/>
  <c r="Z21" i="14"/>
  <c r="AG21" i="14"/>
  <c r="Y21" i="14"/>
  <c r="AF17" i="14"/>
  <c r="AB17" i="14"/>
  <c r="AI17" i="14"/>
  <c r="AE17" i="14"/>
  <c r="AA17" i="14"/>
  <c r="AD17" i="14"/>
  <c r="X17" i="14"/>
  <c r="AC17" i="14"/>
  <c r="AH17" i="14"/>
  <c r="Z17" i="14"/>
  <c r="AG17" i="14"/>
  <c r="Y17" i="14"/>
  <c r="AF13" i="14"/>
  <c r="AB13" i="14"/>
  <c r="X13" i="14"/>
  <c r="AI13" i="14"/>
  <c r="AE13" i="14"/>
  <c r="AA13" i="14"/>
  <c r="AH13" i="14"/>
  <c r="AD13" i="14"/>
  <c r="Z13" i="14"/>
  <c r="AG13" i="14"/>
  <c r="AC13" i="14"/>
  <c r="Y13" i="14"/>
  <c r="X35" i="14"/>
  <c r="AB35" i="14"/>
  <c r="AF35" i="14"/>
  <c r="Y35" i="14"/>
  <c r="AC35" i="14"/>
  <c r="AG35" i="14"/>
  <c r="Y39" i="14"/>
  <c r="AC39" i="14"/>
  <c r="AG39" i="14"/>
  <c r="Y43" i="14"/>
  <c r="AC43" i="14"/>
  <c r="AG43" i="14"/>
  <c r="Y47" i="14"/>
  <c r="AC47" i="14"/>
  <c r="AG47" i="14"/>
  <c r="Z32" i="14"/>
  <c r="AF49" i="14"/>
  <c r="AA49" i="14"/>
  <c r="AH48" i="14"/>
  <c r="AI47" i="14"/>
  <c r="AD47" i="14"/>
  <c r="X47" i="14"/>
  <c r="AE46" i="14"/>
  <c r="Z46" i="14"/>
  <c r="AF45" i="14"/>
  <c r="AA45" i="14"/>
  <c r="AH44" i="14"/>
  <c r="AI43" i="14"/>
  <c r="AD43" i="14"/>
  <c r="X43" i="14"/>
  <c r="AE42" i="14"/>
  <c r="Z42" i="14"/>
  <c r="AF41" i="14"/>
  <c r="AA41" i="14"/>
  <c r="AH40" i="14"/>
  <c r="AI39" i="14"/>
  <c r="AD39" i="14"/>
  <c r="X39" i="14"/>
  <c r="AD38" i="14"/>
  <c r="AH37" i="14"/>
  <c r="Z37" i="14"/>
  <c r="AH35" i="14"/>
  <c r="Z35" i="14"/>
  <c r="AA34" i="14"/>
  <c r="Y22" i="11"/>
  <c r="AC22" i="11"/>
  <c r="Y26" i="11"/>
  <c r="AI26" i="11" s="1"/>
  <c r="AC26" i="11"/>
  <c r="W18" i="13"/>
  <c r="W14" i="13"/>
  <c r="AA18" i="13"/>
  <c r="Y16" i="13"/>
  <c r="AA14" i="13"/>
  <c r="AC18" i="13"/>
  <c r="AC14" i="13"/>
  <c r="X26" i="13"/>
  <c r="AK26" i="13" s="1"/>
  <c r="AB26" i="13"/>
  <c r="X28" i="13"/>
  <c r="AK28" i="13" s="1"/>
  <c r="AB28" i="13"/>
  <c r="AF20" i="14"/>
  <c r="AB20" i="14"/>
  <c r="X20" i="14"/>
  <c r="AI20" i="14"/>
  <c r="AE20" i="14"/>
  <c r="AA20" i="14"/>
  <c r="AH20" i="14"/>
  <c r="Z20" i="14"/>
  <c r="AG20" i="14"/>
  <c r="Y20" i="14"/>
  <c r="AD20" i="14"/>
  <c r="AC20" i="14"/>
  <c r="AF16" i="14"/>
  <c r="AB16" i="14"/>
  <c r="X16" i="14"/>
  <c r="AI16" i="14"/>
  <c r="AE16" i="14"/>
  <c r="AA16" i="14"/>
  <c r="AH16" i="14"/>
  <c r="AD16" i="14"/>
  <c r="Z16" i="14"/>
  <c r="AG16" i="14"/>
  <c r="AC16" i="14"/>
  <c r="Y16" i="14"/>
  <c r="AF32" i="14"/>
  <c r="AD32" i="14"/>
  <c r="AB32" i="14"/>
  <c r="X36" i="14"/>
  <c r="AB36" i="14"/>
  <c r="AF36" i="14"/>
  <c r="Y36" i="14"/>
  <c r="AC36" i="14"/>
  <c r="AG36" i="14"/>
  <c r="Y40" i="14"/>
  <c r="AC40" i="14"/>
  <c r="AG40" i="14"/>
  <c r="Y44" i="14"/>
  <c r="AC44" i="14"/>
  <c r="AG44" i="14"/>
  <c r="Y48" i="14"/>
  <c r="AC48" i="14"/>
  <c r="AG48" i="14"/>
  <c r="X32" i="14"/>
  <c r="Y32" i="14"/>
  <c r="AE32" i="14"/>
  <c r="AE49" i="14"/>
  <c r="Z49" i="14"/>
  <c r="AF48" i="14"/>
  <c r="AA48" i="14"/>
  <c r="AH47" i="14"/>
  <c r="AB47" i="14"/>
  <c r="AI46" i="14"/>
  <c r="AD46" i="14"/>
  <c r="X46" i="14"/>
  <c r="AE45" i="14"/>
  <c r="Z45" i="14"/>
  <c r="AF44" i="14"/>
  <c r="AA44" i="14"/>
  <c r="AH43" i="14"/>
  <c r="AB43" i="14"/>
  <c r="AI42" i="14"/>
  <c r="AD42" i="14"/>
  <c r="X42" i="14"/>
  <c r="AE41" i="14"/>
  <c r="Z41" i="14"/>
  <c r="AF40" i="14"/>
  <c r="AA40" i="14"/>
  <c r="AH39" i="14"/>
  <c r="AB39" i="14"/>
  <c r="AI38" i="14"/>
  <c r="AA38" i="14"/>
  <c r="AE37" i="14"/>
  <c r="AI36" i="14"/>
  <c r="AA36" i="14"/>
  <c r="AE35" i="14"/>
  <c r="AI34" i="14"/>
  <c r="AI33" i="14"/>
  <c r="AJ20" i="10"/>
  <c r="AJ21" i="10"/>
  <c r="AL16" i="3"/>
  <c r="M86" i="1"/>
  <c r="AJ36" i="14" l="1"/>
  <c r="AL36" i="14"/>
  <c r="AL21" i="14"/>
  <c r="AJ21" i="14"/>
  <c r="AL42" i="14"/>
  <c r="AJ42" i="14"/>
  <c r="AL32" i="14"/>
  <c r="AJ32" i="14"/>
  <c r="AK14" i="13"/>
  <c r="AI14" i="13"/>
  <c r="AL43" i="14"/>
  <c r="AJ43" i="14"/>
  <c r="AL47" i="14"/>
  <c r="AJ47" i="14"/>
  <c r="AK18" i="13"/>
  <c r="AI18" i="13"/>
  <c r="AL35" i="14"/>
  <c r="AJ35" i="14"/>
  <c r="AJ37" i="14"/>
  <c r="AL37" i="14"/>
  <c r="AI29" i="13"/>
  <c r="AI19" i="13"/>
  <c r="AK19" i="13"/>
  <c r="AL16" i="10"/>
  <c r="AJ16" i="10"/>
  <c r="AJ13" i="8"/>
  <c r="AL13" i="8"/>
  <c r="AK27" i="13"/>
  <c r="AI27" i="13"/>
  <c r="AL13" i="10"/>
  <c r="AJ29" i="10"/>
  <c r="AL29" i="10"/>
  <c r="AJ32" i="10"/>
  <c r="AL32" i="10"/>
  <c r="AJ17" i="10"/>
  <c r="AL21" i="10"/>
  <c r="AJ14" i="8"/>
  <c r="AK15" i="13"/>
  <c r="AI15" i="13"/>
  <c r="AI25" i="11"/>
  <c r="AK25" i="11"/>
  <c r="AJ18" i="10"/>
  <c r="AL17" i="8"/>
  <c r="AL18" i="8"/>
  <c r="AL19" i="8"/>
  <c r="AL16" i="14"/>
  <c r="AJ16" i="14"/>
  <c r="AL46" i="14"/>
  <c r="AJ46" i="14"/>
  <c r="AI22" i="11"/>
  <c r="AJ40" i="14"/>
  <c r="AL40" i="14"/>
  <c r="AJ44" i="14"/>
  <c r="AL44" i="14"/>
  <c r="AJ48" i="14"/>
  <c r="AL48" i="14"/>
  <c r="AL34" i="14"/>
  <c r="AJ34" i="14"/>
  <c r="AL14" i="14"/>
  <c r="AJ14" i="14"/>
  <c r="AJ18" i="14"/>
  <c r="AL18" i="14"/>
  <c r="AL22" i="14"/>
  <c r="AJ22" i="14"/>
  <c r="AL12" i="14"/>
  <c r="AJ12" i="14"/>
  <c r="AJ41" i="14"/>
  <c r="AL41" i="14"/>
  <c r="AJ45" i="14"/>
  <c r="AL45" i="14"/>
  <c r="AJ49" i="14"/>
  <c r="AL49" i="14"/>
  <c r="AL34" i="10"/>
  <c r="AJ34" i="10"/>
  <c r="AK12" i="13"/>
  <c r="AI12" i="13"/>
  <c r="AI24" i="11"/>
  <c r="AK24" i="11"/>
  <c r="AJ33" i="10"/>
  <c r="AL33" i="10"/>
  <c r="AL20" i="10"/>
  <c r="AL12" i="8"/>
  <c r="AJ12" i="8"/>
  <c r="AL14" i="10"/>
  <c r="AL17" i="10"/>
  <c r="AL35" i="8"/>
  <c r="AI26" i="13"/>
  <c r="AL35" i="10"/>
  <c r="AL18" i="10"/>
  <c r="AJ16" i="8"/>
  <c r="AJ34" i="8"/>
  <c r="AJ18" i="8"/>
  <c r="AJ19" i="8"/>
  <c r="AL13" i="14"/>
  <c r="AJ13" i="14"/>
  <c r="AK16" i="13"/>
  <c r="AI16" i="13"/>
  <c r="AJ33" i="14"/>
  <c r="AL33" i="14"/>
  <c r="AK13" i="13"/>
  <c r="AI13" i="13"/>
  <c r="AL19" i="10"/>
  <c r="AK22" i="11"/>
  <c r="AK26" i="11"/>
  <c r="AI28" i="13"/>
  <c r="AI13" i="11"/>
  <c r="AK13" i="11"/>
  <c r="AL39" i="10"/>
  <c r="AJ39" i="10"/>
  <c r="AJ15" i="8"/>
  <c r="AK15" i="8" s="1"/>
  <c r="AJ35" i="8"/>
  <c r="AI14" i="11"/>
  <c r="AK14" i="11"/>
  <c r="AJ14" i="10"/>
  <c r="AJ35" i="10"/>
  <c r="AJ17" i="8"/>
  <c r="AJ17" i="14"/>
  <c r="AL17" i="14"/>
  <c r="AL20" i="14"/>
  <c r="AJ20" i="14"/>
  <c r="AL39" i="14"/>
  <c r="AJ39" i="14"/>
  <c r="AL38" i="14"/>
  <c r="AJ38" i="14"/>
  <c r="AL15" i="14"/>
  <c r="AJ15" i="14"/>
  <c r="AL19" i="14"/>
  <c r="AJ19" i="14"/>
  <c r="AK17" i="13"/>
  <c r="AI17" i="13"/>
  <c r="AL30" i="10"/>
  <c r="AJ30" i="10"/>
  <c r="AJ12" i="10"/>
  <c r="AL12" i="10"/>
  <c r="AJ19" i="10"/>
  <c r="AL15" i="8"/>
  <c r="AI12" i="11"/>
  <c r="AI17" i="11" s="1"/>
  <c r="AK29" i="11"/>
  <c r="AI29" i="11"/>
  <c r="AK23" i="11"/>
  <c r="AJ13" i="10"/>
  <c r="AL14" i="8"/>
  <c r="AL31" i="10"/>
  <c r="AJ31" i="10"/>
  <c r="AL34" i="8"/>
  <c r="AI21" i="13" l="1"/>
  <c r="AJ63" i="14"/>
  <c r="AI32" i="13"/>
  <c r="AJ22" i="8"/>
  <c r="AJ47" i="10"/>
  <c r="AJ27" i="14"/>
  <c r="AI33" i="11"/>
  <c r="AJ24" i="10"/>
  <c r="V42" i="8" l="1"/>
  <c r="T42" i="8"/>
  <c r="S42" i="8"/>
  <c r="Q42" i="8"/>
  <c r="P42" i="8"/>
  <c r="O42" i="8"/>
  <c r="N42" i="8"/>
  <c r="L42" i="8"/>
  <c r="K42" i="8"/>
  <c r="J42" i="8"/>
  <c r="I42" i="8"/>
  <c r="H42" i="8"/>
  <c r="G42" i="8"/>
  <c r="S44" i="3"/>
  <c r="R44" i="3"/>
  <c r="Q44" i="3"/>
  <c r="P44" i="3"/>
  <c r="O44" i="3"/>
  <c r="N44" i="3"/>
  <c r="G44" i="3"/>
  <c r="H44" i="3"/>
  <c r="I44" i="3"/>
  <c r="J44" i="3"/>
  <c r="K44" i="3"/>
  <c r="F44" i="3"/>
  <c r="AL14" i="3"/>
  <c r="AL15" i="3"/>
  <c r="AL13" i="3"/>
  <c r="AJ14" i="3"/>
  <c r="AJ15" i="3"/>
  <c r="AJ13" i="3"/>
  <c r="AE13" i="3"/>
  <c r="AF13" i="3"/>
  <c r="AG13" i="3"/>
  <c r="AH13" i="3"/>
  <c r="AI13" i="3"/>
  <c r="AE14" i="3"/>
  <c r="AF14" i="3"/>
  <c r="AG14" i="3"/>
  <c r="AH14" i="3"/>
  <c r="AI14" i="3"/>
  <c r="AE15" i="3"/>
  <c r="AF15" i="3"/>
  <c r="AG15" i="3"/>
  <c r="AH15" i="3"/>
  <c r="AI15" i="3"/>
  <c r="AD14" i="3"/>
  <c r="AD15" i="3"/>
  <c r="AD13" i="3"/>
  <c r="X14" i="3"/>
  <c r="Y14" i="3"/>
  <c r="Z14" i="3"/>
  <c r="AA14" i="3"/>
  <c r="AB14" i="3"/>
  <c r="AC14" i="3"/>
  <c r="X15" i="3"/>
  <c r="Y15" i="3"/>
  <c r="Z15" i="3"/>
  <c r="AA15" i="3"/>
  <c r="AB15" i="3"/>
  <c r="AC15" i="3"/>
  <c r="Y13" i="3"/>
  <c r="Z13" i="3"/>
  <c r="AA13" i="3"/>
  <c r="AB13" i="3"/>
  <c r="AC13" i="3"/>
  <c r="X13" i="3"/>
  <c r="L91" i="1" l="1"/>
  <c r="K91" i="1"/>
  <c r="L90" i="1"/>
  <c r="K90" i="1"/>
  <c r="L89" i="1"/>
  <c r="K89" i="1"/>
  <c r="L88" i="1"/>
  <c r="K88" i="1"/>
  <c r="L87" i="1"/>
  <c r="K87" i="1"/>
  <c r="L85" i="1"/>
  <c r="K85" i="1"/>
  <c r="L84" i="1"/>
  <c r="K84" i="1"/>
  <c r="K64" i="1"/>
  <c r="K65" i="1"/>
  <c r="K66" i="1"/>
  <c r="K67" i="1"/>
  <c r="K68" i="1"/>
  <c r="K69" i="1"/>
  <c r="K70" i="1"/>
  <c r="K71" i="1"/>
  <c r="K72" i="1"/>
  <c r="K73" i="1"/>
  <c r="K75" i="1"/>
  <c r="K76" i="1"/>
  <c r="K77" i="1"/>
  <c r="K63" i="1"/>
  <c r="L77" i="1"/>
  <c r="L76" i="1"/>
  <c r="L75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1" i="1"/>
  <c r="L30" i="1"/>
  <c r="L29" i="1"/>
  <c r="L27" i="1"/>
  <c r="L26" i="1"/>
  <c r="L25" i="1"/>
  <c r="L24" i="1"/>
  <c r="L23" i="1"/>
  <c r="L22" i="1"/>
  <c r="L28" i="1"/>
  <c r="K39" i="1"/>
  <c r="M39" i="1" s="1"/>
  <c r="K40" i="1"/>
  <c r="M40" i="1" s="1"/>
  <c r="K41" i="1"/>
  <c r="K42" i="1"/>
  <c r="M42" i="1" s="1"/>
  <c r="K43" i="1"/>
  <c r="M43" i="1" s="1"/>
  <c r="K44" i="1"/>
  <c r="M44" i="1" s="1"/>
  <c r="K45" i="1"/>
  <c r="K46" i="1"/>
  <c r="M46" i="1" s="1"/>
  <c r="K47" i="1"/>
  <c r="M47" i="1" s="1"/>
  <c r="K48" i="1"/>
  <c r="M48" i="1" s="1"/>
  <c r="K49" i="1"/>
  <c r="K50" i="1"/>
  <c r="M50" i="1" s="1"/>
  <c r="K51" i="1"/>
  <c r="M51" i="1" s="1"/>
  <c r="K52" i="1"/>
  <c r="M52" i="1" s="1"/>
  <c r="K53" i="1"/>
  <c r="K54" i="1"/>
  <c r="M54" i="1" s="1"/>
  <c r="N54" i="1" s="1"/>
  <c r="K55" i="1"/>
  <c r="M55" i="1" s="1"/>
  <c r="N55" i="1" s="1"/>
  <c r="K56" i="1"/>
  <c r="M56" i="1" s="1"/>
  <c r="N56" i="1" s="1"/>
  <c r="K57" i="1"/>
  <c r="K58" i="1"/>
  <c r="M58" i="1" s="1"/>
  <c r="N58" i="1" s="1"/>
  <c r="K59" i="1"/>
  <c r="M59" i="1" s="1"/>
  <c r="N59" i="1" s="1"/>
  <c r="K60" i="1"/>
  <c r="M60" i="1" s="1"/>
  <c r="N60" i="1" s="1"/>
  <c r="K61" i="1"/>
  <c r="K62" i="1"/>
  <c r="C21" i="1"/>
  <c r="C20" i="1"/>
  <c r="C18" i="1"/>
  <c r="O26" i="1" l="1"/>
  <c r="M26" i="1"/>
  <c r="M69" i="1"/>
  <c r="O69" i="1"/>
  <c r="M65" i="1"/>
  <c r="O65" i="1"/>
  <c r="O85" i="1"/>
  <c r="M85" i="1"/>
  <c r="O88" i="1"/>
  <c r="M88" i="1"/>
  <c r="O90" i="1"/>
  <c r="M90" i="1"/>
  <c r="O27" i="1"/>
  <c r="M27" i="1"/>
  <c r="M77" i="1"/>
  <c r="O77" i="1"/>
  <c r="M72" i="1"/>
  <c r="O72" i="1"/>
  <c r="M64" i="1"/>
  <c r="O64" i="1"/>
  <c r="M20" i="2"/>
  <c r="J20" i="2"/>
  <c r="K20" i="2" s="1"/>
  <c r="J35" i="2"/>
  <c r="K35" i="2" s="1"/>
  <c r="M35" i="2"/>
  <c r="M51" i="2"/>
  <c r="J51" i="2"/>
  <c r="K51" i="2" s="1"/>
  <c r="M59" i="2"/>
  <c r="J59" i="2"/>
  <c r="K59" i="2" s="1"/>
  <c r="M61" i="1"/>
  <c r="O61" i="1"/>
  <c r="M53" i="1"/>
  <c r="M49" i="1"/>
  <c r="M45" i="1"/>
  <c r="M41" i="1"/>
  <c r="N41" i="1" s="1"/>
  <c r="O41" i="1"/>
  <c r="M29" i="1"/>
  <c r="O29" i="1"/>
  <c r="M76" i="1"/>
  <c r="O76" i="1"/>
  <c r="M71" i="1"/>
  <c r="O71" i="1"/>
  <c r="O84" i="1"/>
  <c r="M84" i="1"/>
  <c r="J12" i="2"/>
  <c r="K12" i="2" s="1"/>
  <c r="M12" i="2"/>
  <c r="M19" i="2"/>
  <c r="J19" i="2"/>
  <c r="K19" i="2" s="1"/>
  <c r="L19" i="2" s="1"/>
  <c r="M28" i="1"/>
  <c r="O28" i="1"/>
  <c r="M25" i="1"/>
  <c r="O25" i="1"/>
  <c r="M30" i="1"/>
  <c r="O30" i="1"/>
  <c r="M75" i="1"/>
  <c r="O75" i="1"/>
  <c r="M70" i="1"/>
  <c r="O70" i="1"/>
  <c r="M66" i="1"/>
  <c r="O66" i="1"/>
  <c r="J22" i="2"/>
  <c r="K22" i="2" s="1"/>
  <c r="M22" i="2"/>
  <c r="J18" i="2"/>
  <c r="K18" i="2" s="1"/>
  <c r="M18" i="2"/>
  <c r="J14" i="2"/>
  <c r="K14" i="2" s="1"/>
  <c r="M14" i="2"/>
  <c r="M32" i="2"/>
  <c r="J32" i="2"/>
  <c r="K32" i="2" s="1"/>
  <c r="J26" i="2"/>
  <c r="K26" i="2" s="1"/>
  <c r="M26" i="2"/>
  <c r="M33" i="2"/>
  <c r="J33" i="2"/>
  <c r="K33" i="2" s="1"/>
  <c r="M49" i="2"/>
  <c r="J49" i="2"/>
  <c r="K49" i="2" s="1"/>
  <c r="L49" i="2" s="1"/>
  <c r="M53" i="2"/>
  <c r="J53" i="2"/>
  <c r="K53" i="2" s="1"/>
  <c r="M57" i="2"/>
  <c r="J57" i="2"/>
  <c r="K57" i="2" s="1"/>
  <c r="M61" i="2"/>
  <c r="J61" i="2"/>
  <c r="K61" i="2" s="1"/>
  <c r="M65" i="2"/>
  <c r="J65" i="2"/>
  <c r="K65" i="2" s="1"/>
  <c r="M69" i="2"/>
  <c r="J69" i="2"/>
  <c r="K69" i="2" s="1"/>
  <c r="M73" i="2"/>
  <c r="J73" i="2"/>
  <c r="K73" i="2" s="1"/>
  <c r="M77" i="2"/>
  <c r="J77" i="2"/>
  <c r="K77" i="2" s="1"/>
  <c r="M81" i="2"/>
  <c r="J81" i="2"/>
  <c r="K81" i="2" s="1"/>
  <c r="M85" i="2"/>
  <c r="J85" i="2"/>
  <c r="K85" i="2" s="1"/>
  <c r="M89" i="2"/>
  <c r="J89" i="2"/>
  <c r="K89" i="2" s="1"/>
  <c r="M93" i="2"/>
  <c r="J93" i="2"/>
  <c r="K93" i="2" s="1"/>
  <c r="M97" i="2"/>
  <c r="J97" i="2"/>
  <c r="K97" i="2" s="1"/>
  <c r="M101" i="2"/>
  <c r="J101" i="2"/>
  <c r="K101" i="2" s="1"/>
  <c r="M105" i="2"/>
  <c r="J105" i="2"/>
  <c r="K105" i="2" s="1"/>
  <c r="M109" i="2"/>
  <c r="J109" i="2"/>
  <c r="K109" i="2" s="1"/>
  <c r="M113" i="2"/>
  <c r="J113" i="2"/>
  <c r="K113" i="2" s="1"/>
  <c r="J119" i="2"/>
  <c r="K119" i="2" s="1"/>
  <c r="M119" i="2"/>
  <c r="M139" i="2"/>
  <c r="J139" i="2"/>
  <c r="K139" i="2" s="1"/>
  <c r="M144" i="2"/>
  <c r="J144" i="2"/>
  <c r="K144" i="2" s="1"/>
  <c r="M148" i="2"/>
  <c r="J148" i="2"/>
  <c r="K148" i="2" s="1"/>
  <c r="M73" i="1"/>
  <c r="O73" i="1"/>
  <c r="J21" i="2"/>
  <c r="K21" i="2" s="1"/>
  <c r="M21" i="2"/>
  <c r="J17" i="2"/>
  <c r="K17" i="2" s="1"/>
  <c r="M17" i="2"/>
  <c r="J13" i="2"/>
  <c r="K13" i="2" s="1"/>
  <c r="M13" i="2"/>
  <c r="M23" i="2"/>
  <c r="J23" i="2"/>
  <c r="K23" i="2" s="1"/>
  <c r="M27" i="2"/>
  <c r="J27" i="2"/>
  <c r="K27" i="2" s="1"/>
  <c r="J34" i="2"/>
  <c r="K34" i="2" s="1"/>
  <c r="M34" i="2"/>
  <c r="M50" i="2"/>
  <c r="J50" i="2"/>
  <c r="K50" i="2" s="1"/>
  <c r="M54" i="2"/>
  <c r="J54" i="2"/>
  <c r="K54" i="2" s="1"/>
  <c r="M58" i="2"/>
  <c r="J58" i="2"/>
  <c r="K58" i="2" s="1"/>
  <c r="M62" i="2"/>
  <c r="J62" i="2"/>
  <c r="K62" i="2" s="1"/>
  <c r="M66" i="2"/>
  <c r="J66" i="2"/>
  <c r="K66" i="2" s="1"/>
  <c r="J70" i="2"/>
  <c r="K70" i="2" s="1"/>
  <c r="M70" i="2"/>
  <c r="J74" i="2"/>
  <c r="K74" i="2" s="1"/>
  <c r="M74" i="2"/>
  <c r="J78" i="2"/>
  <c r="K78" i="2" s="1"/>
  <c r="M78" i="2"/>
  <c r="J82" i="2"/>
  <c r="K82" i="2" s="1"/>
  <c r="M82" i="2"/>
  <c r="J86" i="2"/>
  <c r="K86" i="2" s="1"/>
  <c r="M86" i="2"/>
  <c r="J90" i="2"/>
  <c r="K90" i="2" s="1"/>
  <c r="M90" i="2"/>
  <c r="J94" i="2"/>
  <c r="K94" i="2" s="1"/>
  <c r="M94" i="2"/>
  <c r="J98" i="2"/>
  <c r="K98" i="2" s="1"/>
  <c r="M98" i="2"/>
  <c r="M102" i="2"/>
  <c r="J102" i="2"/>
  <c r="K102" i="2" s="1"/>
  <c r="M106" i="2"/>
  <c r="J106" i="2"/>
  <c r="K106" i="2" s="1"/>
  <c r="J110" i="2"/>
  <c r="K110" i="2" s="1"/>
  <c r="M110" i="2"/>
  <c r="M116" i="2"/>
  <c r="J116" i="2"/>
  <c r="K116" i="2" s="1"/>
  <c r="M120" i="2"/>
  <c r="J120" i="2"/>
  <c r="K120" i="2" s="1"/>
  <c r="J140" i="2"/>
  <c r="K140" i="2" s="1"/>
  <c r="M140" i="2"/>
  <c r="M145" i="2"/>
  <c r="J145" i="2"/>
  <c r="K145" i="2" s="1"/>
  <c r="M63" i="1"/>
  <c r="O63" i="1"/>
  <c r="O62" i="1"/>
  <c r="M62" i="1"/>
  <c r="M24" i="2"/>
  <c r="J24" i="2"/>
  <c r="K24" i="2" s="1"/>
  <c r="M28" i="2"/>
  <c r="J28" i="2"/>
  <c r="K28" i="2" s="1"/>
  <c r="J63" i="2"/>
  <c r="K63" i="2" s="1"/>
  <c r="M63" i="2"/>
  <c r="M67" i="2"/>
  <c r="J67" i="2"/>
  <c r="K67" i="2" s="1"/>
  <c r="M71" i="2"/>
  <c r="J71" i="2"/>
  <c r="K71" i="2" s="1"/>
  <c r="M75" i="2"/>
  <c r="J75" i="2"/>
  <c r="K75" i="2" s="1"/>
  <c r="M79" i="2"/>
  <c r="J79" i="2"/>
  <c r="K79" i="2" s="1"/>
  <c r="M83" i="2"/>
  <c r="J83" i="2"/>
  <c r="K83" i="2" s="1"/>
  <c r="M87" i="2"/>
  <c r="J87" i="2"/>
  <c r="K87" i="2" s="1"/>
  <c r="M91" i="2"/>
  <c r="J91" i="2"/>
  <c r="K91" i="2" s="1"/>
  <c r="M95" i="2"/>
  <c r="J95" i="2"/>
  <c r="K95" i="2" s="1"/>
  <c r="M99" i="2"/>
  <c r="J99" i="2"/>
  <c r="K99" i="2" s="1"/>
  <c r="J103" i="2"/>
  <c r="K103" i="2" s="1"/>
  <c r="M103" i="2"/>
  <c r="M107" i="2"/>
  <c r="J107" i="2"/>
  <c r="K107" i="2" s="1"/>
  <c r="M111" i="2"/>
  <c r="J111" i="2"/>
  <c r="K111" i="2" s="1"/>
  <c r="M117" i="2"/>
  <c r="J117" i="2"/>
  <c r="K117" i="2" s="1"/>
  <c r="J121" i="2"/>
  <c r="K121" i="2" s="1"/>
  <c r="M121" i="2"/>
  <c r="M141" i="2"/>
  <c r="J141" i="2"/>
  <c r="K141" i="2" s="1"/>
  <c r="M146" i="2"/>
  <c r="J146" i="2"/>
  <c r="K146" i="2" s="1"/>
  <c r="O22" i="1"/>
  <c r="M22" i="1"/>
  <c r="M31" i="1"/>
  <c r="O31" i="1"/>
  <c r="O23" i="1"/>
  <c r="M23" i="1"/>
  <c r="M68" i="1"/>
  <c r="O68" i="1"/>
  <c r="M16" i="2"/>
  <c r="J16" i="2"/>
  <c r="K16" i="2" s="1"/>
  <c r="M30" i="2"/>
  <c r="J30" i="2"/>
  <c r="K30" i="2" s="1"/>
  <c r="M55" i="2"/>
  <c r="J55" i="2"/>
  <c r="K55" i="2" s="1"/>
  <c r="M57" i="1"/>
  <c r="N57" i="1" s="1"/>
  <c r="O24" i="1"/>
  <c r="M24" i="1"/>
  <c r="M67" i="1"/>
  <c r="O67" i="1"/>
  <c r="O87" i="1"/>
  <c r="M87" i="1"/>
  <c r="O89" i="1"/>
  <c r="M89" i="1"/>
  <c r="O91" i="1"/>
  <c r="M91" i="1"/>
  <c r="M15" i="2"/>
  <c r="J15" i="2"/>
  <c r="K15" i="2" s="1"/>
  <c r="J31" i="2"/>
  <c r="K31" i="2" s="1"/>
  <c r="M31" i="2"/>
  <c r="J25" i="2"/>
  <c r="K25" i="2" s="1"/>
  <c r="M25" i="2"/>
  <c r="J29" i="2"/>
  <c r="K29" i="2" s="1"/>
  <c r="M29" i="2"/>
  <c r="J48" i="2"/>
  <c r="K48" i="2" s="1"/>
  <c r="M48" i="2"/>
  <c r="M52" i="2"/>
  <c r="J52" i="2"/>
  <c r="K52" i="2" s="1"/>
  <c r="M56" i="2"/>
  <c r="J56" i="2"/>
  <c r="K56" i="2" s="1"/>
  <c r="M60" i="2"/>
  <c r="J60" i="2"/>
  <c r="K60" i="2" s="1"/>
  <c r="M64" i="2"/>
  <c r="J64" i="2"/>
  <c r="K64" i="2" s="1"/>
  <c r="M68" i="2"/>
  <c r="J68" i="2"/>
  <c r="K68" i="2" s="1"/>
  <c r="M72" i="2"/>
  <c r="J72" i="2"/>
  <c r="K72" i="2" s="1"/>
  <c r="M76" i="2"/>
  <c r="J76" i="2"/>
  <c r="K76" i="2" s="1"/>
  <c r="M80" i="2"/>
  <c r="J80" i="2"/>
  <c r="K80" i="2" s="1"/>
  <c r="L80" i="2" s="1"/>
  <c r="M84" i="2"/>
  <c r="J84" i="2"/>
  <c r="K84" i="2" s="1"/>
  <c r="M88" i="2"/>
  <c r="J88" i="2"/>
  <c r="K88" i="2" s="1"/>
  <c r="M92" i="2"/>
  <c r="J92" i="2"/>
  <c r="K92" i="2" s="1"/>
  <c r="M96" i="2"/>
  <c r="J96" i="2"/>
  <c r="K96" i="2" s="1"/>
  <c r="M100" i="2"/>
  <c r="J100" i="2"/>
  <c r="K100" i="2" s="1"/>
  <c r="M104" i="2"/>
  <c r="J104" i="2"/>
  <c r="K104" i="2" s="1"/>
  <c r="J108" i="2"/>
  <c r="K108" i="2" s="1"/>
  <c r="M108" i="2"/>
  <c r="M112" i="2"/>
  <c r="J112" i="2"/>
  <c r="K112" i="2" s="1"/>
  <c r="M118" i="2"/>
  <c r="J118" i="2"/>
  <c r="K118" i="2" s="1"/>
  <c r="M127" i="2"/>
  <c r="J127" i="2"/>
  <c r="K127" i="2" s="1"/>
  <c r="M143" i="2"/>
  <c r="J143" i="2"/>
  <c r="K143" i="2" s="1"/>
  <c r="J147" i="2"/>
  <c r="K147" i="2" s="1"/>
  <c r="M147" i="2"/>
  <c r="K37" i="2" l="1"/>
  <c r="P17" i="15"/>
  <c r="L95" i="2"/>
  <c r="H95" i="2"/>
  <c r="H80" i="2"/>
  <c r="H78" i="2"/>
  <c r="H73" i="2"/>
  <c r="H143" i="2"/>
  <c r="E162" i="2"/>
  <c r="H160" i="2"/>
  <c r="F162" i="2" l="1"/>
  <c r="P16" i="15"/>
  <c r="P14" i="15"/>
  <c r="P9" i="15"/>
  <c r="P6" i="15"/>
  <c r="P293" i="35"/>
  <c r="N293" i="35"/>
  <c r="L293" i="35"/>
  <c r="J293" i="35"/>
  <c r="O289" i="35"/>
  <c r="P287" i="35"/>
  <c r="O287" i="35"/>
  <c r="N287" i="35"/>
  <c r="L287" i="35"/>
  <c r="J287" i="35"/>
  <c r="O283" i="35"/>
  <c r="P281" i="35"/>
  <c r="O281" i="35"/>
  <c r="N281" i="35"/>
  <c r="L281" i="35"/>
  <c r="J281" i="35"/>
  <c r="O277" i="35"/>
  <c r="P275" i="35"/>
  <c r="O275" i="35"/>
  <c r="N275" i="35"/>
  <c r="L275" i="35"/>
  <c r="J275" i="35"/>
  <c r="O271" i="35"/>
  <c r="P269" i="35"/>
  <c r="O269" i="35"/>
  <c r="N269" i="35"/>
  <c r="L269" i="35"/>
  <c r="J269" i="35"/>
  <c r="P265" i="35"/>
  <c r="O265" i="35"/>
  <c r="N265" i="35"/>
  <c r="L265" i="35"/>
  <c r="J265" i="35"/>
  <c r="P261" i="35"/>
  <c r="O261" i="35"/>
  <c r="N261" i="35"/>
  <c r="L261" i="35"/>
  <c r="J261" i="35"/>
  <c r="O257" i="35"/>
  <c r="O255" i="35"/>
  <c r="P253" i="35"/>
  <c r="O253" i="35"/>
  <c r="N253" i="35"/>
  <c r="L253" i="35"/>
  <c r="J253" i="35"/>
  <c r="P249" i="35"/>
  <c r="O249" i="35"/>
  <c r="N249" i="35"/>
  <c r="L249" i="35"/>
  <c r="J249" i="35"/>
  <c r="P245" i="35"/>
  <c r="P255" i="35" s="1"/>
  <c r="O245" i="35"/>
  <c r="N245" i="35"/>
  <c r="N255" i="35" s="1"/>
  <c r="L245" i="35"/>
  <c r="L255" i="35" s="1"/>
  <c r="J245" i="35"/>
  <c r="J255" i="35" s="1"/>
  <c r="P231" i="35"/>
  <c r="N231" i="35"/>
  <c r="L231" i="35"/>
  <c r="J231" i="35"/>
  <c r="P227" i="35"/>
  <c r="N227" i="35"/>
  <c r="L227" i="35"/>
  <c r="J227" i="35"/>
  <c r="P185" i="35"/>
  <c r="P233" i="35" s="1"/>
  <c r="N185" i="35"/>
  <c r="N233" i="35" s="1"/>
  <c r="L185" i="35"/>
  <c r="L233" i="35" s="1"/>
  <c r="J185" i="35"/>
  <c r="J233" i="35" s="1"/>
  <c r="P176" i="35"/>
  <c r="N176" i="35"/>
  <c r="L176" i="35"/>
  <c r="J176" i="35"/>
  <c r="P172" i="35"/>
  <c r="N172" i="35"/>
  <c r="L172" i="35"/>
  <c r="J172" i="35"/>
  <c r="P165" i="35"/>
  <c r="N165" i="35"/>
  <c r="L165" i="35"/>
  <c r="J165" i="35"/>
  <c r="P161" i="35"/>
  <c r="N161" i="35"/>
  <c r="L161" i="35"/>
  <c r="J161" i="35"/>
  <c r="P146" i="35"/>
  <c r="N146" i="35"/>
  <c r="L146" i="35"/>
  <c r="J146" i="35"/>
  <c r="P136" i="35"/>
  <c r="N136" i="35"/>
  <c r="L136" i="35"/>
  <c r="J136" i="35"/>
  <c r="P130" i="35"/>
  <c r="N130" i="35"/>
  <c r="L130" i="35"/>
  <c r="J130" i="35"/>
  <c r="P106" i="35"/>
  <c r="N106" i="35"/>
  <c r="L106" i="35"/>
  <c r="J106" i="35"/>
  <c r="P102" i="35"/>
  <c r="P178" i="35" s="1"/>
  <c r="N102" i="35"/>
  <c r="N178" i="35" s="1"/>
  <c r="L102" i="35"/>
  <c r="L178" i="35" s="1"/>
  <c r="J102" i="35"/>
  <c r="P84" i="35"/>
  <c r="N84" i="35"/>
  <c r="L84" i="35"/>
  <c r="J84" i="35"/>
  <c r="P80" i="35"/>
  <c r="N80" i="35"/>
  <c r="L80" i="35"/>
  <c r="J80" i="35"/>
  <c r="P74" i="35"/>
  <c r="N74" i="35"/>
  <c r="L74" i="35"/>
  <c r="J74" i="35"/>
  <c r="P67" i="35"/>
  <c r="N67" i="35"/>
  <c r="L67" i="35"/>
  <c r="J67" i="35"/>
  <c r="P63" i="35"/>
  <c r="P86" i="35" s="1"/>
  <c r="N63" i="35"/>
  <c r="N86" i="35" s="1"/>
  <c r="L63" i="35"/>
  <c r="L86" i="35" s="1"/>
  <c r="J63" i="35"/>
  <c r="J86" i="35" s="1"/>
  <c r="P54" i="35"/>
  <c r="N54" i="35"/>
  <c r="L54" i="35"/>
  <c r="J54" i="35"/>
  <c r="P48" i="35"/>
  <c r="N48" i="35"/>
  <c r="L48" i="35"/>
  <c r="J48" i="35"/>
  <c r="P44" i="35"/>
  <c r="N44" i="35"/>
  <c r="L44" i="35"/>
  <c r="J44" i="35"/>
  <c r="P40" i="35"/>
  <c r="N40" i="35"/>
  <c r="L40" i="35"/>
  <c r="J40" i="35"/>
  <c r="P35" i="35"/>
  <c r="N35" i="35"/>
  <c r="L35" i="35"/>
  <c r="J35" i="35"/>
  <c r="P29" i="35"/>
  <c r="N29" i="35"/>
  <c r="L29" i="35"/>
  <c r="J29" i="35"/>
  <c r="P25" i="35"/>
  <c r="N25" i="35"/>
  <c r="L25" i="35"/>
  <c r="J25" i="35"/>
  <c r="B8" i="35"/>
  <c r="B7" i="35"/>
  <c r="N11" i="35" s="1"/>
  <c r="N3" i="35"/>
  <c r="L3" i="35" s="1"/>
  <c r="J3" i="35"/>
  <c r="A6" i="35"/>
  <c r="A5" i="35"/>
  <c r="A8" i="35"/>
  <c r="A4" i="35"/>
  <c r="B6" i="35"/>
  <c r="A7" i="35"/>
  <c r="B5" i="35"/>
  <c r="B4" i="35"/>
  <c r="J56" i="35" l="1"/>
  <c r="J88" i="35" s="1"/>
  <c r="L56" i="35"/>
  <c r="L88" i="35" s="1"/>
  <c r="L180" i="35" s="1"/>
  <c r="L236" i="35" s="1"/>
  <c r="L257" i="35" s="1"/>
  <c r="L271" i="35" s="1"/>
  <c r="L277" i="35" s="1"/>
  <c r="L283" i="35" s="1"/>
  <c r="L289" i="35" s="1"/>
  <c r="N56" i="35"/>
  <c r="N88" i="35" s="1"/>
  <c r="N180" i="35" s="1"/>
  <c r="N236" i="35" s="1"/>
  <c r="N238" i="35" s="1"/>
  <c r="P56" i="35"/>
  <c r="Q243" i="35" s="1"/>
  <c r="L238" i="35"/>
  <c r="N12" i="35"/>
  <c r="N257" i="35"/>
  <c r="N271" i="35" s="1"/>
  <c r="N277" i="35" s="1"/>
  <c r="N283" i="35" s="1"/>
  <c r="N289" i="35" s="1"/>
  <c r="Q265" i="35"/>
  <c r="Q253" i="35"/>
  <c r="Q249" i="35"/>
  <c r="Q241" i="35"/>
  <c r="Q233" i="35"/>
  <c r="Q229" i="35"/>
  <c r="Q223" i="35"/>
  <c r="Q221" i="35"/>
  <c r="Q219" i="35"/>
  <c r="Q215" i="35"/>
  <c r="Q213" i="35"/>
  <c r="Q211" i="35"/>
  <c r="Q207" i="35"/>
  <c r="Q205" i="35"/>
  <c r="Q203" i="35"/>
  <c r="Q199" i="35"/>
  <c r="Q197" i="35"/>
  <c r="Q195" i="35"/>
  <c r="Q191" i="35"/>
  <c r="Q189" i="35"/>
  <c r="Q185" i="35"/>
  <c r="Q172" i="35"/>
  <c r="Q169" i="35"/>
  <c r="Q165" i="35"/>
  <c r="Q157" i="35"/>
  <c r="Q155" i="35"/>
  <c r="Q153" i="35"/>
  <c r="Q149" i="35"/>
  <c r="Q144" i="35"/>
  <c r="Q142" i="35"/>
  <c r="Q136" i="35"/>
  <c r="Q133" i="35"/>
  <c r="Q128" i="35"/>
  <c r="Q124" i="35"/>
  <c r="Q122" i="35"/>
  <c r="Q120" i="35"/>
  <c r="Q116" i="35"/>
  <c r="Q114" i="35"/>
  <c r="Q112" i="35"/>
  <c r="Q106" i="35"/>
  <c r="Q287" i="35"/>
  <c r="Q281" i="35"/>
  <c r="Q269" i="35"/>
  <c r="Q261" i="35"/>
  <c r="Q255" i="35"/>
  <c r="Q251" i="35"/>
  <c r="Q242" i="35"/>
  <c r="Q240" i="35"/>
  <c r="Q227" i="35"/>
  <c r="Q224" i="35"/>
  <c r="Q222" i="35"/>
  <c r="Q218" i="35"/>
  <c r="Q216" i="35"/>
  <c r="Q214" i="35"/>
  <c r="Q210" i="35"/>
  <c r="Q208" i="35"/>
  <c r="Q206" i="35"/>
  <c r="Q202" i="35"/>
  <c r="Q200" i="35"/>
  <c r="Q198" i="35"/>
  <c r="Q194" i="35"/>
  <c r="Q192" i="35"/>
  <c r="Q190" i="35"/>
  <c r="Q183" i="35"/>
  <c r="Q178" i="35"/>
  <c r="Q174" i="35"/>
  <c r="Q168" i="35"/>
  <c r="Q161" i="35"/>
  <c r="Q158" i="35"/>
  <c r="Q154" i="35"/>
  <c r="Q152" i="35"/>
  <c r="Q150" i="35"/>
  <c r="Q143" i="35"/>
  <c r="Q141" i="35"/>
  <c r="Q139" i="35"/>
  <c r="Q130" i="35"/>
  <c r="Q127" i="35"/>
  <c r="Q125" i="35"/>
  <c r="Q121" i="35"/>
  <c r="Q119" i="35"/>
  <c r="Q117" i="35"/>
  <c r="Q113" i="35"/>
  <c r="Q111" i="35"/>
  <c r="Q109" i="35"/>
  <c r="Q100" i="35"/>
  <c r="Q98" i="35"/>
  <c r="Q96" i="35"/>
  <c r="Q92" i="35"/>
  <c r="Q84" i="35"/>
  <c r="Q78" i="35"/>
  <c r="Q71" i="35"/>
  <c r="Q67" i="35"/>
  <c r="Q61" i="35"/>
  <c r="Q54" i="35"/>
  <c r="Q51" i="35"/>
  <c r="Q44" i="35"/>
  <c r="Q32" i="35"/>
  <c r="Q25" i="35"/>
  <c r="Q22" i="35"/>
  <c r="Q18" i="35"/>
  <c r="Q16" i="35"/>
  <c r="Q2" i="35"/>
  <c r="Q102" i="35"/>
  <c r="Q99" i="35"/>
  <c r="Q97" i="35"/>
  <c r="Q93" i="35"/>
  <c r="Q91" i="35"/>
  <c r="Q86" i="35"/>
  <c r="Q77" i="35"/>
  <c r="Q72" i="35"/>
  <c r="Q70" i="35"/>
  <c r="Q60" i="35"/>
  <c r="Q56" i="35"/>
  <c r="Q52" i="35"/>
  <c r="Q48" i="35"/>
  <c r="Q40" i="35"/>
  <c r="Q33" i="35"/>
  <c r="Q29" i="35"/>
  <c r="Q23" i="35"/>
  <c r="Q21" i="35"/>
  <c r="Q19" i="35"/>
  <c r="Q17" i="35"/>
  <c r="J11" i="35"/>
  <c r="J178" i="35"/>
  <c r="J180" i="35" s="1"/>
  <c r="J236" i="35" s="1"/>
  <c r="L11" i="35"/>
  <c r="P12" i="35"/>
  <c r="Q63" i="35" l="1"/>
  <c r="Q80" i="35"/>
  <c r="Q95" i="35"/>
  <c r="P88" i="35"/>
  <c r="P180" i="35" s="1"/>
  <c r="P236" i="35" s="1"/>
  <c r="Q236" i="35" s="1"/>
  <c r="Q20" i="35"/>
  <c r="Q35" i="35"/>
  <c r="Q59" i="35"/>
  <c r="Q74" i="35"/>
  <c r="Q94" i="35"/>
  <c r="Q104" i="35"/>
  <c r="Q115" i="35"/>
  <c r="Q123" i="35"/>
  <c r="Q134" i="35"/>
  <c r="Q146" i="35"/>
  <c r="Q156" i="35"/>
  <c r="Q170" i="35"/>
  <c r="Q188" i="35"/>
  <c r="Q196" i="35"/>
  <c r="Q204" i="35"/>
  <c r="Q212" i="35"/>
  <c r="Q220" i="35"/>
  <c r="Q231" i="35"/>
  <c r="Q245" i="35"/>
  <c r="Q275" i="35"/>
  <c r="Q110" i="35"/>
  <c r="Q118" i="35"/>
  <c r="Q126" i="35"/>
  <c r="Q140" i="35"/>
  <c r="Q151" i="35"/>
  <c r="Q159" i="35"/>
  <c r="Q176" i="35"/>
  <c r="Q193" i="35"/>
  <c r="Q201" i="35"/>
  <c r="Q209" i="35"/>
  <c r="Q217" i="35"/>
  <c r="Q225" i="35"/>
  <c r="J257" i="35"/>
  <c r="J271" i="35" s="1"/>
  <c r="J277" i="35" s="1"/>
  <c r="J283" i="35" s="1"/>
  <c r="J289" i="35" s="1"/>
  <c r="J238" i="35"/>
  <c r="L12" i="35"/>
  <c r="Q88" i="35"/>
  <c r="J12" i="35"/>
  <c r="P257" i="35"/>
  <c r="P238" i="35"/>
  <c r="Q238" i="35" s="1"/>
  <c r="P289" i="34"/>
  <c r="N289" i="34"/>
  <c r="L289" i="34"/>
  <c r="J289" i="34"/>
  <c r="O285" i="34"/>
  <c r="P283" i="34"/>
  <c r="O283" i="34"/>
  <c r="N283" i="34"/>
  <c r="L283" i="34"/>
  <c r="J283" i="34"/>
  <c r="O279" i="34"/>
  <c r="P277" i="34"/>
  <c r="O277" i="34"/>
  <c r="N277" i="34"/>
  <c r="L277" i="34"/>
  <c r="J277" i="34"/>
  <c r="O273" i="34"/>
  <c r="P271" i="34"/>
  <c r="O271" i="34"/>
  <c r="N271" i="34"/>
  <c r="L271" i="34"/>
  <c r="J271" i="34"/>
  <c r="O267" i="34"/>
  <c r="P265" i="34"/>
  <c r="O265" i="34"/>
  <c r="N265" i="34"/>
  <c r="L265" i="34"/>
  <c r="J265" i="34"/>
  <c r="P261" i="34"/>
  <c r="O261" i="34"/>
  <c r="N261" i="34"/>
  <c r="L261" i="34"/>
  <c r="J261" i="34"/>
  <c r="P257" i="34"/>
  <c r="O257" i="34"/>
  <c r="N257" i="34"/>
  <c r="L257" i="34"/>
  <c r="J257" i="34"/>
  <c r="O253" i="34"/>
  <c r="O251" i="34"/>
  <c r="P249" i="34"/>
  <c r="O249" i="34"/>
  <c r="N249" i="34"/>
  <c r="L249" i="34"/>
  <c r="J249" i="34"/>
  <c r="P245" i="34"/>
  <c r="O245" i="34"/>
  <c r="N245" i="34"/>
  <c r="L245" i="34"/>
  <c r="J245" i="34"/>
  <c r="P241" i="34"/>
  <c r="P251" i="34" s="1"/>
  <c r="O241" i="34"/>
  <c r="N241" i="34"/>
  <c r="L241" i="34"/>
  <c r="L251" i="34" s="1"/>
  <c r="J241" i="34"/>
  <c r="J251" i="34" s="1"/>
  <c r="P227" i="34"/>
  <c r="N227" i="34"/>
  <c r="L227" i="34"/>
  <c r="J227" i="34"/>
  <c r="P223" i="34"/>
  <c r="N223" i="34"/>
  <c r="L223" i="34"/>
  <c r="J223" i="34"/>
  <c r="P183" i="34"/>
  <c r="P229" i="34" s="1"/>
  <c r="N183" i="34"/>
  <c r="N229" i="34" s="1"/>
  <c r="L183" i="34"/>
  <c r="J183" i="34"/>
  <c r="P174" i="34"/>
  <c r="N174" i="34"/>
  <c r="L174" i="34"/>
  <c r="J174" i="34"/>
  <c r="P170" i="34"/>
  <c r="N170" i="34"/>
  <c r="L170" i="34"/>
  <c r="J170" i="34"/>
  <c r="P163" i="34"/>
  <c r="N163" i="34"/>
  <c r="L163" i="34"/>
  <c r="J163" i="34"/>
  <c r="P159" i="34"/>
  <c r="N159" i="34"/>
  <c r="L159" i="34"/>
  <c r="J159" i="34"/>
  <c r="P145" i="34"/>
  <c r="N145" i="34"/>
  <c r="L145" i="34"/>
  <c r="J145" i="34"/>
  <c r="P136" i="34"/>
  <c r="N136" i="34"/>
  <c r="L136" i="34"/>
  <c r="J136" i="34"/>
  <c r="P130" i="34"/>
  <c r="N130" i="34"/>
  <c r="L130" i="34"/>
  <c r="J130" i="34"/>
  <c r="P107" i="34"/>
  <c r="N107" i="34"/>
  <c r="L107" i="34"/>
  <c r="J107" i="34"/>
  <c r="P103" i="34"/>
  <c r="N103" i="34"/>
  <c r="L103" i="34"/>
  <c r="L176" i="34" s="1"/>
  <c r="J103" i="34"/>
  <c r="J176" i="34" s="1"/>
  <c r="P85" i="34"/>
  <c r="N85" i="34"/>
  <c r="L85" i="34"/>
  <c r="J85" i="34"/>
  <c r="P81" i="34"/>
  <c r="N81" i="34"/>
  <c r="L81" i="34"/>
  <c r="J81" i="34"/>
  <c r="P75" i="34"/>
  <c r="N75" i="34"/>
  <c r="L75" i="34"/>
  <c r="J75" i="34"/>
  <c r="P67" i="34"/>
  <c r="N67" i="34"/>
  <c r="L67" i="34"/>
  <c r="J67" i="34"/>
  <c r="P63" i="34"/>
  <c r="N63" i="34"/>
  <c r="L63" i="34"/>
  <c r="L87" i="34" s="1"/>
  <c r="J63" i="34"/>
  <c r="J87" i="34" s="1"/>
  <c r="P54" i="34"/>
  <c r="N54" i="34"/>
  <c r="L54" i="34"/>
  <c r="J54" i="34"/>
  <c r="P48" i="34"/>
  <c r="N48" i="34"/>
  <c r="L48" i="34"/>
  <c r="J48" i="34"/>
  <c r="P44" i="34"/>
  <c r="N44" i="34"/>
  <c r="L44" i="34"/>
  <c r="J44" i="34"/>
  <c r="P40" i="34"/>
  <c r="N40" i="34"/>
  <c r="L40" i="34"/>
  <c r="J40" i="34"/>
  <c r="P35" i="34"/>
  <c r="N35" i="34"/>
  <c r="L35" i="34"/>
  <c r="J35" i="34"/>
  <c r="P29" i="34"/>
  <c r="N29" i="34"/>
  <c r="L29" i="34"/>
  <c r="J29" i="34"/>
  <c r="P25" i="34"/>
  <c r="N25" i="34"/>
  <c r="L25" i="34"/>
  <c r="J25" i="34"/>
  <c r="B8" i="34"/>
  <c r="B7" i="34"/>
  <c r="N11" i="34" s="1"/>
  <c r="N3" i="34"/>
  <c r="L3" i="34" s="1"/>
  <c r="J3" i="34"/>
  <c r="A6" i="34"/>
  <c r="A5" i="34"/>
  <c r="A8" i="34"/>
  <c r="A4" i="34"/>
  <c r="B6" i="34"/>
  <c r="B4" i="34"/>
  <c r="A7" i="34"/>
  <c r="B5" i="34"/>
  <c r="Q180" i="35" l="1"/>
  <c r="J11" i="34"/>
  <c r="P56" i="34"/>
  <c r="P87" i="34"/>
  <c r="J56" i="34"/>
  <c r="J89" i="34" s="1"/>
  <c r="J178" i="34" s="1"/>
  <c r="L56" i="34"/>
  <c r="L89" i="34" s="1"/>
  <c r="L178" i="34" s="1"/>
  <c r="N56" i="34"/>
  <c r="N87" i="34"/>
  <c r="P271" i="35"/>
  <c r="Q257" i="35"/>
  <c r="Q261" i="34"/>
  <c r="Q249" i="34"/>
  <c r="Q245" i="34"/>
  <c r="Q239" i="34"/>
  <c r="Q237" i="34"/>
  <c r="Q229" i="34"/>
  <c r="Q225" i="34"/>
  <c r="Q221" i="34"/>
  <c r="Q219" i="34"/>
  <c r="Q217" i="34"/>
  <c r="Q215" i="34"/>
  <c r="Q213" i="34"/>
  <c r="Q211" i="34"/>
  <c r="Q209" i="34"/>
  <c r="Q207" i="34"/>
  <c r="Q205" i="34"/>
  <c r="Q203" i="34"/>
  <c r="Q201" i="34"/>
  <c r="Q199" i="34"/>
  <c r="Q197" i="34"/>
  <c r="Q195" i="34"/>
  <c r="Q193" i="34"/>
  <c r="Q191" i="34"/>
  <c r="Q189" i="34"/>
  <c r="Q187" i="34"/>
  <c r="Q183" i="34"/>
  <c r="Q174" i="34"/>
  <c r="Q170" i="34"/>
  <c r="Q167" i="34"/>
  <c r="Q163" i="34"/>
  <c r="Q157" i="34"/>
  <c r="Q155" i="34"/>
  <c r="Q153" i="34"/>
  <c r="Q151" i="34"/>
  <c r="Q149" i="34"/>
  <c r="Q145" i="34"/>
  <c r="Q142" i="34"/>
  <c r="Q140" i="34"/>
  <c r="Q136" i="34"/>
  <c r="Q133" i="34"/>
  <c r="Q128" i="34"/>
  <c r="Q126" i="34"/>
  <c r="Q124" i="34"/>
  <c r="Q122" i="34"/>
  <c r="Q120" i="34"/>
  <c r="Q118" i="34"/>
  <c r="Q116" i="34"/>
  <c r="Q114" i="34"/>
  <c r="Q112" i="34"/>
  <c r="Q110" i="34"/>
  <c r="Q105" i="34"/>
  <c r="Q101" i="34"/>
  <c r="Q99" i="34"/>
  <c r="Q277" i="34"/>
  <c r="Q257" i="34"/>
  <c r="Q117" i="34"/>
  <c r="Q107" i="34"/>
  <c r="P89" i="34"/>
  <c r="Q48" i="34"/>
  <c r="Q23" i="34"/>
  <c r="Q19" i="34"/>
  <c r="Q17" i="34"/>
  <c r="Q271" i="34"/>
  <c r="Q247" i="34"/>
  <c r="Q238" i="34"/>
  <c r="Q223" i="34"/>
  <c r="Q218" i="34"/>
  <c r="Q214" i="34"/>
  <c r="Q210" i="34"/>
  <c r="Q206" i="34"/>
  <c r="Q202" i="34"/>
  <c r="Q198" i="34"/>
  <c r="Q194" i="34"/>
  <c r="Q190" i="34"/>
  <c r="Q186" i="34"/>
  <c r="Q168" i="34"/>
  <c r="Q159" i="34"/>
  <c r="Q154" i="34"/>
  <c r="Q150" i="34"/>
  <c r="Q143" i="34"/>
  <c r="Q139" i="34"/>
  <c r="Q130" i="34"/>
  <c r="Q125" i="34"/>
  <c r="Q119" i="34"/>
  <c r="Q111" i="34"/>
  <c r="Q98" i="34"/>
  <c r="Q96" i="34"/>
  <c r="Q94" i="34"/>
  <c r="Q92" i="34"/>
  <c r="Q87" i="34"/>
  <c r="Q81" i="34"/>
  <c r="Q78" i="34"/>
  <c r="Q73" i="34"/>
  <c r="Q71" i="34"/>
  <c r="Q67" i="34"/>
  <c r="Q61" i="34"/>
  <c r="Q59" i="34"/>
  <c r="Q54" i="34"/>
  <c r="Q51" i="34"/>
  <c r="Q44" i="34"/>
  <c r="Q35" i="34"/>
  <c r="Q32" i="34"/>
  <c r="Q25" i="34"/>
  <c r="Q22" i="34"/>
  <c r="Q20" i="34"/>
  <c r="Q18" i="34"/>
  <c r="Q16" i="34"/>
  <c r="Q2" i="34"/>
  <c r="Q134" i="34"/>
  <c r="Q95" i="34"/>
  <c r="Q89" i="34"/>
  <c r="Q72" i="34"/>
  <c r="Q60" i="34"/>
  <c r="Q52" i="34"/>
  <c r="Q33" i="34"/>
  <c r="Q265" i="34"/>
  <c r="Q241" i="34"/>
  <c r="Q121" i="34"/>
  <c r="Q113" i="34"/>
  <c r="Q100" i="34"/>
  <c r="Q75" i="34"/>
  <c r="Q63" i="34"/>
  <c r="Q56" i="34"/>
  <c r="Q40" i="34"/>
  <c r="Q29" i="34"/>
  <c r="Q283" i="34"/>
  <c r="Q251" i="34"/>
  <c r="Q236" i="34"/>
  <c r="Q227" i="34"/>
  <c r="Q220" i="34"/>
  <c r="Q216" i="34"/>
  <c r="Q212" i="34"/>
  <c r="Q208" i="34"/>
  <c r="Q204" i="34"/>
  <c r="Q200" i="34"/>
  <c r="Q196" i="34"/>
  <c r="Q192" i="34"/>
  <c r="Q188" i="34"/>
  <c r="Q181" i="34"/>
  <c r="Q172" i="34"/>
  <c r="Q166" i="34"/>
  <c r="Q156" i="34"/>
  <c r="Q152" i="34"/>
  <c r="Q148" i="34"/>
  <c r="Q141" i="34"/>
  <c r="Q127" i="34"/>
  <c r="Q123" i="34"/>
  <c r="Q115" i="34"/>
  <c r="Q103" i="34"/>
  <c r="Q97" i="34"/>
  <c r="Q93" i="34"/>
  <c r="Q85" i="34"/>
  <c r="Q79" i="34"/>
  <c r="Q70" i="34"/>
  <c r="Q21" i="34"/>
  <c r="N12" i="34"/>
  <c r="L11" i="34"/>
  <c r="P12" i="34"/>
  <c r="J12" i="34"/>
  <c r="N176" i="34"/>
  <c r="J229" i="34"/>
  <c r="J232" i="34" s="1"/>
  <c r="N251" i="34"/>
  <c r="P176" i="34"/>
  <c r="Q176" i="34" s="1"/>
  <c r="L229" i="34"/>
  <c r="L232" i="34" s="1"/>
  <c r="N89" i="34" l="1"/>
  <c r="N178" i="34"/>
  <c r="N232" i="34" s="1"/>
  <c r="P277" i="35"/>
  <c r="Q271" i="35"/>
  <c r="L253" i="34"/>
  <c r="L267" i="34" s="1"/>
  <c r="L273" i="34" s="1"/>
  <c r="L279" i="34" s="1"/>
  <c r="L285" i="34" s="1"/>
  <c r="L234" i="34"/>
  <c r="J253" i="34"/>
  <c r="J267" i="34" s="1"/>
  <c r="J273" i="34" s="1"/>
  <c r="J279" i="34" s="1"/>
  <c r="J285" i="34" s="1"/>
  <c r="J234" i="34"/>
  <c r="N253" i="34"/>
  <c r="N267" i="34" s="1"/>
  <c r="N273" i="34" s="1"/>
  <c r="N279" i="34" s="1"/>
  <c r="N285" i="34" s="1"/>
  <c r="N234" i="34"/>
  <c r="P178" i="34"/>
  <c r="L12" i="34"/>
  <c r="P311" i="33"/>
  <c r="N311" i="33"/>
  <c r="L311" i="33"/>
  <c r="J311" i="33"/>
  <c r="O307" i="33"/>
  <c r="P305" i="33"/>
  <c r="O305" i="33"/>
  <c r="N305" i="33"/>
  <c r="L305" i="33"/>
  <c r="J305" i="33"/>
  <c r="O301" i="33"/>
  <c r="P299" i="33"/>
  <c r="O299" i="33"/>
  <c r="N299" i="33"/>
  <c r="L299" i="33"/>
  <c r="J299" i="33"/>
  <c r="O295" i="33"/>
  <c r="P293" i="33"/>
  <c r="O293" i="33"/>
  <c r="N293" i="33"/>
  <c r="L293" i="33"/>
  <c r="J293" i="33"/>
  <c r="O289" i="33"/>
  <c r="P287" i="33"/>
  <c r="O287" i="33"/>
  <c r="N287" i="33"/>
  <c r="L287" i="33"/>
  <c r="J287" i="33"/>
  <c r="P283" i="33"/>
  <c r="O283" i="33"/>
  <c r="N283" i="33"/>
  <c r="L283" i="33"/>
  <c r="J283" i="33"/>
  <c r="P279" i="33"/>
  <c r="O279" i="33"/>
  <c r="N279" i="33"/>
  <c r="L279" i="33"/>
  <c r="J279" i="33"/>
  <c r="O275" i="33"/>
  <c r="O273" i="33"/>
  <c r="P271" i="33"/>
  <c r="O271" i="33"/>
  <c r="N271" i="33"/>
  <c r="L271" i="33"/>
  <c r="J271" i="33"/>
  <c r="P267" i="33"/>
  <c r="O267" i="33"/>
  <c r="N267" i="33"/>
  <c r="L267" i="33"/>
  <c r="J267" i="33"/>
  <c r="P263" i="33"/>
  <c r="P273" i="33" s="1"/>
  <c r="O263" i="33"/>
  <c r="N263" i="33"/>
  <c r="L263" i="33"/>
  <c r="J263" i="33"/>
  <c r="J273" i="33" s="1"/>
  <c r="P249" i="33"/>
  <c r="N249" i="33"/>
  <c r="L249" i="33"/>
  <c r="J249" i="33"/>
  <c r="P245" i="33"/>
  <c r="N245" i="33"/>
  <c r="L245" i="33"/>
  <c r="J245" i="33"/>
  <c r="P199" i="33"/>
  <c r="N199" i="33"/>
  <c r="N251" i="33" s="1"/>
  <c r="L199" i="33"/>
  <c r="J199" i="33"/>
  <c r="J251" i="33" s="1"/>
  <c r="P190" i="33"/>
  <c r="N190" i="33"/>
  <c r="L190" i="33"/>
  <c r="J190" i="33"/>
  <c r="P186" i="33"/>
  <c r="N186" i="33"/>
  <c r="L186" i="33"/>
  <c r="J186" i="33"/>
  <c r="P178" i="33"/>
  <c r="N178" i="33"/>
  <c r="L178" i="33"/>
  <c r="J178" i="33"/>
  <c r="P174" i="33"/>
  <c r="N174" i="33"/>
  <c r="L174" i="33"/>
  <c r="J174" i="33"/>
  <c r="P159" i="33"/>
  <c r="N159" i="33"/>
  <c r="L159" i="33"/>
  <c r="J159" i="33"/>
  <c r="P145" i="33"/>
  <c r="N145" i="33"/>
  <c r="L145" i="33"/>
  <c r="J145" i="33"/>
  <c r="P137" i="33"/>
  <c r="N137" i="33"/>
  <c r="L137" i="33"/>
  <c r="J137" i="33"/>
  <c r="P108" i="33"/>
  <c r="N108" i="33"/>
  <c r="L108" i="33"/>
  <c r="J108" i="33"/>
  <c r="P104" i="33"/>
  <c r="P192" i="33" s="1"/>
  <c r="N104" i="33"/>
  <c r="N192" i="33" s="1"/>
  <c r="L104" i="33"/>
  <c r="J104" i="33"/>
  <c r="P85" i="33"/>
  <c r="N85" i="33"/>
  <c r="L85" i="33"/>
  <c r="J85" i="33"/>
  <c r="P81" i="33"/>
  <c r="N81" i="33"/>
  <c r="L81" i="33"/>
  <c r="J81" i="33"/>
  <c r="P75" i="33"/>
  <c r="N75" i="33"/>
  <c r="L75" i="33"/>
  <c r="J75" i="33"/>
  <c r="P68" i="33"/>
  <c r="N68" i="33"/>
  <c r="L68" i="33"/>
  <c r="J68" i="33"/>
  <c r="P64" i="33"/>
  <c r="N64" i="33"/>
  <c r="L64" i="33"/>
  <c r="J64" i="33"/>
  <c r="J87" i="33" s="1"/>
  <c r="P55" i="33"/>
  <c r="N55" i="33"/>
  <c r="L55" i="33"/>
  <c r="J55" i="33"/>
  <c r="P49" i="33"/>
  <c r="N49" i="33"/>
  <c r="L49" i="33"/>
  <c r="J49" i="33"/>
  <c r="P45" i="33"/>
  <c r="N45" i="33"/>
  <c r="L45" i="33"/>
  <c r="J45" i="33"/>
  <c r="P41" i="33"/>
  <c r="N41" i="33"/>
  <c r="L41" i="33"/>
  <c r="J41" i="33"/>
  <c r="P36" i="33"/>
  <c r="N36" i="33"/>
  <c r="L36" i="33"/>
  <c r="J36" i="33"/>
  <c r="P29" i="33"/>
  <c r="N29" i="33"/>
  <c r="L29" i="33"/>
  <c r="J29" i="33"/>
  <c r="P25" i="33"/>
  <c r="N25" i="33"/>
  <c r="L25" i="33"/>
  <c r="J25" i="33"/>
  <c r="B8" i="33"/>
  <c r="B7" i="33"/>
  <c r="N11" i="33" s="1"/>
  <c r="N3" i="33"/>
  <c r="L3" i="33" s="1"/>
  <c r="J3" i="33"/>
  <c r="A8" i="33"/>
  <c r="A6" i="33"/>
  <c r="A4" i="33"/>
  <c r="A5" i="33"/>
  <c r="B4" i="33"/>
  <c r="B6" i="33"/>
  <c r="A7" i="33"/>
  <c r="B5" i="33"/>
  <c r="J57" i="33" l="1"/>
  <c r="J89" i="33" s="1"/>
  <c r="P57" i="33"/>
  <c r="P87" i="33"/>
  <c r="P251" i="33"/>
  <c r="L57" i="33"/>
  <c r="L192" i="33"/>
  <c r="L273" i="33"/>
  <c r="N273" i="33"/>
  <c r="P283" i="35"/>
  <c r="Q277" i="35"/>
  <c r="P232" i="34"/>
  <c r="Q178" i="34"/>
  <c r="N12" i="33"/>
  <c r="Q283" i="33"/>
  <c r="Q271" i="33"/>
  <c r="Q267" i="33"/>
  <c r="Q299" i="33"/>
  <c r="Q279" i="33"/>
  <c r="Q269" i="33"/>
  <c r="Q258" i="33"/>
  <c r="Q249" i="33"/>
  <c r="Q243" i="33"/>
  <c r="Q238" i="33"/>
  <c r="Q235" i="33"/>
  <c r="Q230" i="33"/>
  <c r="Q227" i="33"/>
  <c r="Q222" i="33"/>
  <c r="Q219" i="33"/>
  <c r="Q214" i="33"/>
  <c r="Q211" i="33"/>
  <c r="Q206" i="33"/>
  <c r="Q203" i="33"/>
  <c r="Q186" i="33"/>
  <c r="Q178" i="33"/>
  <c r="Q171" i="33"/>
  <c r="Q166" i="33"/>
  <c r="Q163" i="33"/>
  <c r="Q155" i="33"/>
  <c r="Q152" i="33"/>
  <c r="Q145" i="33"/>
  <c r="Q141" i="33"/>
  <c r="Q133" i="33"/>
  <c r="Q130" i="33"/>
  <c r="Q125" i="33"/>
  <c r="Q122" i="33"/>
  <c r="Q120" i="33"/>
  <c r="Q118" i="33"/>
  <c r="Q116" i="33"/>
  <c r="Q114" i="33"/>
  <c r="Q112" i="33"/>
  <c r="Q108" i="33"/>
  <c r="Q104" i="33"/>
  <c r="Q101" i="33"/>
  <c r="Q99" i="33"/>
  <c r="Q97" i="33"/>
  <c r="Q95" i="33"/>
  <c r="Q93" i="33"/>
  <c r="Q85" i="33"/>
  <c r="Q79" i="33"/>
  <c r="Q75" i="33"/>
  <c r="Q72" i="33"/>
  <c r="Q68" i="33"/>
  <c r="Q62" i="33"/>
  <c r="Q60" i="33"/>
  <c r="Q55" i="33"/>
  <c r="Q52" i="33"/>
  <c r="Q45" i="33"/>
  <c r="Q36" i="33"/>
  <c r="Q33" i="33"/>
  <c r="Q293" i="33"/>
  <c r="Q273" i="33"/>
  <c r="Q263" i="33"/>
  <c r="Q260" i="33"/>
  <c r="Q247" i="33"/>
  <c r="Q240" i="33"/>
  <c r="Q237" i="33"/>
  <c r="Q232" i="33"/>
  <c r="Q229" i="33"/>
  <c r="Q224" i="33"/>
  <c r="Q221" i="33"/>
  <c r="Q216" i="33"/>
  <c r="Q213" i="33"/>
  <c r="Q208" i="33"/>
  <c r="Q205" i="33"/>
  <c r="Q197" i="33"/>
  <c r="Q192" i="33"/>
  <c r="Q190" i="33"/>
  <c r="Q182" i="33"/>
  <c r="Q174" i="33"/>
  <c r="Q168" i="33"/>
  <c r="Q165" i="33"/>
  <c r="Q157" i="33"/>
  <c r="Q154" i="33"/>
  <c r="Q149" i="33"/>
  <c r="Q143" i="33"/>
  <c r="Q135" i="33"/>
  <c r="Q132" i="33"/>
  <c r="Q127" i="33"/>
  <c r="Q124" i="33"/>
  <c r="P89" i="33"/>
  <c r="P194" i="33" s="1"/>
  <c r="P254" i="33" s="1"/>
  <c r="Q287" i="33"/>
  <c r="Q259" i="33"/>
  <c r="Q242" i="33"/>
  <c r="Q239" i="33"/>
  <c r="Q234" i="33"/>
  <c r="Q231" i="33"/>
  <c r="Q226" i="33"/>
  <c r="Q223" i="33"/>
  <c r="Q218" i="33"/>
  <c r="Q215" i="33"/>
  <c r="Q210" i="33"/>
  <c r="Q207" i="33"/>
  <c r="Q202" i="33"/>
  <c r="Q184" i="33"/>
  <c r="Q181" i="33"/>
  <c r="Q170" i="33"/>
  <c r="Q167" i="33"/>
  <c r="Q162" i="33"/>
  <c r="Q156" i="33"/>
  <c r="Q151" i="33"/>
  <c r="Q148" i="33"/>
  <c r="Q140" i="33"/>
  <c r="Q134" i="33"/>
  <c r="Q129" i="33"/>
  <c r="Q126" i="33"/>
  <c r="Q121" i="33"/>
  <c r="Q119" i="33"/>
  <c r="Q117" i="33"/>
  <c r="Q115" i="33"/>
  <c r="Q113" i="33"/>
  <c r="Q111" i="33"/>
  <c r="Q106" i="33"/>
  <c r="Q102" i="33"/>
  <c r="Q100" i="33"/>
  <c r="Q98" i="33"/>
  <c r="Q96" i="33"/>
  <c r="Q94" i="33"/>
  <c r="Q92" i="33"/>
  <c r="Q87" i="33"/>
  <c r="Q81" i="33"/>
  <c r="Q78" i="33"/>
  <c r="Q73" i="33"/>
  <c r="Q241" i="33"/>
  <c r="Q220" i="33"/>
  <c r="Q209" i="33"/>
  <c r="Q188" i="33"/>
  <c r="Q169" i="33"/>
  <c r="Q142" i="33"/>
  <c r="Q128" i="33"/>
  <c r="Q49" i="33"/>
  <c r="Q305" i="33"/>
  <c r="Q251" i="33"/>
  <c r="Q228" i="33"/>
  <c r="Q217" i="33"/>
  <c r="Q183" i="33"/>
  <c r="Q153" i="33"/>
  <c r="Q137" i="33"/>
  <c r="Q61" i="33"/>
  <c r="Q53" i="33"/>
  <c r="Q32" i="33"/>
  <c r="Q25" i="33"/>
  <c r="Q22" i="33"/>
  <c r="Q20" i="33"/>
  <c r="Q18" i="33"/>
  <c r="Q16" i="33"/>
  <c r="Q2" i="33"/>
  <c r="Q236" i="33"/>
  <c r="Q225" i="33"/>
  <c r="Q204" i="33"/>
  <c r="Q164" i="33"/>
  <c r="Q150" i="33"/>
  <c r="Q123" i="33"/>
  <c r="Q64" i="33"/>
  <c r="Q34" i="33"/>
  <c r="Q261" i="33"/>
  <c r="Q245" i="33"/>
  <c r="Q233" i="33"/>
  <c r="Q212" i="33"/>
  <c r="Q199" i="33"/>
  <c r="Q172" i="33"/>
  <c r="Q159" i="33"/>
  <c r="Q131" i="33"/>
  <c r="Q71" i="33"/>
  <c r="Q57" i="33"/>
  <c r="Q41" i="33"/>
  <c r="Q29" i="33"/>
  <c r="Q23" i="33"/>
  <c r="Q21" i="33"/>
  <c r="Q19" i="33"/>
  <c r="Q17" i="33"/>
  <c r="J11" i="33"/>
  <c r="L11" i="33"/>
  <c r="P12" i="33"/>
  <c r="N57" i="33"/>
  <c r="L87" i="33"/>
  <c r="L89" i="33" s="1"/>
  <c r="L194" i="33" s="1"/>
  <c r="L254" i="33" s="1"/>
  <c r="J192" i="33"/>
  <c r="J194" i="33" s="1"/>
  <c r="J254" i="33" s="1"/>
  <c r="N87" i="33"/>
  <c r="L251" i="33"/>
  <c r="N89" i="33" l="1"/>
  <c r="N194" i="33" s="1"/>
  <c r="N254" i="33" s="1"/>
  <c r="Q194" i="33"/>
  <c r="P289" i="35"/>
  <c r="Q289" i="35" s="1"/>
  <c r="Q283" i="35"/>
  <c r="P253" i="34"/>
  <c r="P234" i="34"/>
  <c r="Q234" i="34" s="1"/>
  <c r="Q232" i="34"/>
  <c r="J275" i="33"/>
  <c r="J289" i="33" s="1"/>
  <c r="J295" i="33" s="1"/>
  <c r="J301" i="33" s="1"/>
  <c r="J307" i="33" s="1"/>
  <c r="J256" i="33"/>
  <c r="L275" i="33"/>
  <c r="L289" i="33" s="1"/>
  <c r="L295" i="33" s="1"/>
  <c r="L301" i="33" s="1"/>
  <c r="L307" i="33" s="1"/>
  <c r="L256" i="33"/>
  <c r="N256" i="33"/>
  <c r="N275" i="33"/>
  <c r="N289" i="33" s="1"/>
  <c r="N295" i="33" s="1"/>
  <c r="N301" i="33" s="1"/>
  <c r="N307" i="33" s="1"/>
  <c r="J12" i="33"/>
  <c r="P275" i="33"/>
  <c r="P256" i="33"/>
  <c r="Q256" i="33" s="1"/>
  <c r="Q89" i="33"/>
  <c r="L12" i="33"/>
  <c r="Q254" i="33"/>
  <c r="P308" i="32"/>
  <c r="N308" i="32"/>
  <c r="L308" i="32"/>
  <c r="J308" i="32"/>
  <c r="O304" i="32"/>
  <c r="P302" i="32"/>
  <c r="O302" i="32"/>
  <c r="N302" i="32"/>
  <c r="L302" i="32"/>
  <c r="J302" i="32"/>
  <c r="O298" i="32"/>
  <c r="P296" i="32"/>
  <c r="O296" i="32"/>
  <c r="N296" i="32"/>
  <c r="L296" i="32"/>
  <c r="J296" i="32"/>
  <c r="O292" i="32"/>
  <c r="P290" i="32"/>
  <c r="O290" i="32"/>
  <c r="N290" i="32"/>
  <c r="L290" i="32"/>
  <c r="J290" i="32"/>
  <c r="O286" i="32"/>
  <c r="P284" i="32"/>
  <c r="O284" i="32"/>
  <c r="N284" i="32"/>
  <c r="L284" i="32"/>
  <c r="J284" i="32"/>
  <c r="P280" i="32"/>
  <c r="O280" i="32"/>
  <c r="N280" i="32"/>
  <c r="L280" i="32"/>
  <c r="J280" i="32"/>
  <c r="P276" i="32"/>
  <c r="O276" i="32"/>
  <c r="N276" i="32"/>
  <c r="L276" i="32"/>
  <c r="J276" i="32"/>
  <c r="O272" i="32"/>
  <c r="O270" i="32"/>
  <c r="P268" i="32"/>
  <c r="O268" i="32"/>
  <c r="N268" i="32"/>
  <c r="L268" i="32"/>
  <c r="J268" i="32"/>
  <c r="P264" i="32"/>
  <c r="O264" i="32"/>
  <c r="N264" i="32"/>
  <c r="L264" i="32"/>
  <c r="J264" i="32"/>
  <c r="P260" i="32"/>
  <c r="O260" i="32"/>
  <c r="N260" i="32"/>
  <c r="N270" i="32" s="1"/>
  <c r="L260" i="32"/>
  <c r="J260" i="32"/>
  <c r="P246" i="32"/>
  <c r="N246" i="32"/>
  <c r="L246" i="32"/>
  <c r="J246" i="32"/>
  <c r="P242" i="32"/>
  <c r="N242" i="32"/>
  <c r="L242" i="32"/>
  <c r="J242" i="32"/>
  <c r="P196" i="32"/>
  <c r="P248" i="32" s="1"/>
  <c r="N196" i="32"/>
  <c r="N248" i="32" s="1"/>
  <c r="L196" i="32"/>
  <c r="L248" i="32" s="1"/>
  <c r="J196" i="32"/>
  <c r="J248" i="32" s="1"/>
  <c r="P187" i="32"/>
  <c r="N187" i="32"/>
  <c r="L187" i="32"/>
  <c r="J187" i="32"/>
  <c r="P183" i="32"/>
  <c r="N183" i="32"/>
  <c r="L183" i="32"/>
  <c r="J183" i="32"/>
  <c r="P175" i="32"/>
  <c r="N175" i="32"/>
  <c r="L175" i="32"/>
  <c r="J175" i="32"/>
  <c r="P171" i="32"/>
  <c r="N171" i="32"/>
  <c r="L171" i="32"/>
  <c r="J171" i="32"/>
  <c r="P156" i="32"/>
  <c r="N156" i="32"/>
  <c r="L156" i="32"/>
  <c r="J156" i="32"/>
  <c r="P142" i="32"/>
  <c r="N142" i="32"/>
  <c r="L142" i="32"/>
  <c r="J142" i="32"/>
  <c r="P135" i="32"/>
  <c r="N135" i="32"/>
  <c r="L135" i="32"/>
  <c r="J135" i="32"/>
  <c r="P108" i="32"/>
  <c r="N108" i="32"/>
  <c r="L108" i="32"/>
  <c r="J108" i="32"/>
  <c r="P104" i="32"/>
  <c r="P189" i="32" s="1"/>
  <c r="N104" i="32"/>
  <c r="N189" i="32" s="1"/>
  <c r="L104" i="32"/>
  <c r="L189" i="32" s="1"/>
  <c r="J104" i="32"/>
  <c r="P85" i="32"/>
  <c r="N85" i="32"/>
  <c r="L85" i="32"/>
  <c r="J85" i="32"/>
  <c r="P81" i="32"/>
  <c r="N81" i="32"/>
  <c r="L81" i="32"/>
  <c r="J81" i="32"/>
  <c r="P75" i="32"/>
  <c r="N75" i="32"/>
  <c r="L75" i="32"/>
  <c r="J75" i="32"/>
  <c r="P68" i="32"/>
  <c r="N68" i="32"/>
  <c r="L68" i="32"/>
  <c r="J68" i="32"/>
  <c r="P64" i="32"/>
  <c r="P87" i="32" s="1"/>
  <c r="N64" i="32"/>
  <c r="N87" i="32" s="1"/>
  <c r="L64" i="32"/>
  <c r="L87" i="32" s="1"/>
  <c r="J64" i="32"/>
  <c r="J87" i="32" s="1"/>
  <c r="P55" i="32"/>
  <c r="N55" i="32"/>
  <c r="L55" i="32"/>
  <c r="J55" i="32"/>
  <c r="P49" i="32"/>
  <c r="N49" i="32"/>
  <c r="L49" i="32"/>
  <c r="J49" i="32"/>
  <c r="P45" i="32"/>
  <c r="N45" i="32"/>
  <c r="L45" i="32"/>
  <c r="J45" i="32"/>
  <c r="P41" i="32"/>
  <c r="N41" i="32"/>
  <c r="L41" i="32"/>
  <c r="J41" i="32"/>
  <c r="P36" i="32"/>
  <c r="N36" i="32"/>
  <c r="L36" i="32"/>
  <c r="J36" i="32"/>
  <c r="P29" i="32"/>
  <c r="N29" i="32"/>
  <c r="L29" i="32"/>
  <c r="J29" i="32"/>
  <c r="P25" i="32"/>
  <c r="N25" i="32"/>
  <c r="L25" i="32"/>
  <c r="J25" i="32"/>
  <c r="B8" i="32"/>
  <c r="B7" i="32"/>
  <c r="J11" i="32" s="1"/>
  <c r="N3" i="32"/>
  <c r="L3" i="32" s="1"/>
  <c r="A6" i="32"/>
  <c r="A4" i="32"/>
  <c r="A5" i="32"/>
  <c r="A8" i="32"/>
  <c r="B6" i="32"/>
  <c r="A7" i="32"/>
  <c r="B4" i="32"/>
  <c r="B5" i="32"/>
  <c r="N57" i="32" l="1"/>
  <c r="N89" i="32" s="1"/>
  <c r="N191" i="32" s="1"/>
  <c r="N251" i="32" s="1"/>
  <c r="P57" i="32"/>
  <c r="J57" i="32"/>
  <c r="J89" i="32" s="1"/>
  <c r="J270" i="32"/>
  <c r="P270" i="32"/>
  <c r="L57" i="32"/>
  <c r="L89" i="32" s="1"/>
  <c r="L191" i="32" s="1"/>
  <c r="L251" i="32" s="1"/>
  <c r="L270" i="32"/>
  <c r="L272" i="32" s="1"/>
  <c r="L286" i="32" s="1"/>
  <c r="L292" i="32" s="1"/>
  <c r="L298" i="32" s="1"/>
  <c r="L304" i="32" s="1"/>
  <c r="P267" i="34"/>
  <c r="Q253" i="34"/>
  <c r="P289" i="33"/>
  <c r="Q275" i="33"/>
  <c r="L253" i="32"/>
  <c r="N272" i="32"/>
  <c r="N286" i="32" s="1"/>
  <c r="N292" i="32" s="1"/>
  <c r="N298" i="32" s="1"/>
  <c r="N304" i="32" s="1"/>
  <c r="N253" i="32"/>
  <c r="J12" i="32"/>
  <c r="Q280" i="32"/>
  <c r="Q268" i="32"/>
  <c r="Q264" i="32"/>
  <c r="Q258" i="32"/>
  <c r="Q256" i="32"/>
  <c r="Q248" i="32"/>
  <c r="Q244" i="32"/>
  <c r="Q240" i="32"/>
  <c r="Q238" i="32"/>
  <c r="Q236" i="32"/>
  <c r="Q234" i="32"/>
  <c r="Q232" i="32"/>
  <c r="Q230" i="32"/>
  <c r="Q228" i="32"/>
  <c r="Q226" i="32"/>
  <c r="Q224" i="32"/>
  <c r="Q222" i="32"/>
  <c r="Q220" i="32"/>
  <c r="Q218" i="32"/>
  <c r="Q216" i="32"/>
  <c r="Q214" i="32"/>
  <c r="Q212" i="32"/>
  <c r="Q210" i="32"/>
  <c r="Q208" i="32"/>
  <c r="Q206" i="32"/>
  <c r="Q204" i="32"/>
  <c r="Q202" i="32"/>
  <c r="Q200" i="32"/>
  <c r="Q196" i="32"/>
  <c r="Q187" i="32"/>
  <c r="Q183" i="32"/>
  <c r="Q180" i="32"/>
  <c r="Q178" i="32"/>
  <c r="Q302" i="32"/>
  <c r="Q296" i="32"/>
  <c r="Q290" i="32"/>
  <c r="Q284" i="32"/>
  <c r="Q276" i="32"/>
  <c r="Q270" i="32"/>
  <c r="Q260" i="32"/>
  <c r="Q266" i="32"/>
  <c r="Q257" i="32"/>
  <c r="Q255" i="32"/>
  <c r="Q246" i="32"/>
  <c r="Q242" i="32"/>
  <c r="Q239" i="32"/>
  <c r="Q237" i="32"/>
  <c r="Q235" i="32"/>
  <c r="Q233" i="32"/>
  <c r="Q231" i="32"/>
  <c r="Q229" i="32"/>
  <c r="Q227" i="32"/>
  <c r="Q225" i="32"/>
  <c r="Q223" i="32"/>
  <c r="Q221" i="32"/>
  <c r="Q219" i="32"/>
  <c r="Q217" i="32"/>
  <c r="Q215" i="32"/>
  <c r="Q213" i="32"/>
  <c r="Q211" i="32"/>
  <c r="Q209" i="32"/>
  <c r="Q207" i="32"/>
  <c r="Q205" i="32"/>
  <c r="Q203" i="32"/>
  <c r="Q201" i="32"/>
  <c r="Q199" i="32"/>
  <c r="Q194" i="32"/>
  <c r="Q189" i="32"/>
  <c r="Q185" i="32"/>
  <c r="Q181" i="32"/>
  <c r="Q179" i="32"/>
  <c r="Q175" i="32"/>
  <c r="Q169" i="32"/>
  <c r="Q167" i="32"/>
  <c r="Q165" i="32"/>
  <c r="Q163" i="32"/>
  <c r="Q161" i="32"/>
  <c r="Q159" i="32"/>
  <c r="Q154" i="32"/>
  <c r="Q152" i="32"/>
  <c r="Q150" i="32"/>
  <c r="Q148" i="32"/>
  <c r="Q146" i="32"/>
  <c r="Q142" i="32"/>
  <c r="Q139" i="32"/>
  <c r="Q135" i="32"/>
  <c r="Q171" i="32"/>
  <c r="Q131" i="32"/>
  <c r="Q126" i="32"/>
  <c r="Q123" i="32"/>
  <c r="Q118" i="32"/>
  <c r="Q116" i="32"/>
  <c r="Q114" i="32"/>
  <c r="Q112" i="32"/>
  <c r="Q108" i="32"/>
  <c r="Q104" i="32"/>
  <c r="Q101" i="32"/>
  <c r="Q99" i="32"/>
  <c r="Q97" i="32"/>
  <c r="Q95" i="32"/>
  <c r="Q93" i="32"/>
  <c r="Q85" i="32"/>
  <c r="Q79" i="32"/>
  <c r="Q75" i="32"/>
  <c r="Q72" i="32"/>
  <c r="Q68" i="32"/>
  <c r="Q62" i="32"/>
  <c r="Q60" i="32"/>
  <c r="Q55" i="32"/>
  <c r="Q52" i="32"/>
  <c r="Q45" i="32"/>
  <c r="Q36" i="32"/>
  <c r="Q33" i="32"/>
  <c r="Q29" i="32"/>
  <c r="Q23" i="32"/>
  <c r="Q21" i="32"/>
  <c r="Q19" i="32"/>
  <c r="Q17" i="32"/>
  <c r="Q168" i="32"/>
  <c r="Q162" i="32"/>
  <c r="Q156" i="32"/>
  <c r="Q151" i="32"/>
  <c r="Q147" i="32"/>
  <c r="Q140" i="32"/>
  <c r="Q133" i="32"/>
  <c r="Q128" i="32"/>
  <c r="Q125" i="32"/>
  <c r="Q120" i="32"/>
  <c r="P89" i="32"/>
  <c r="P191" i="32" s="1"/>
  <c r="P251" i="32" s="1"/>
  <c r="Q251" i="32" s="1"/>
  <c r="Q166" i="32"/>
  <c r="Q130" i="32"/>
  <c r="Q127" i="32"/>
  <c r="Q122" i="32"/>
  <c r="Q119" i="32"/>
  <c r="Q117" i="32"/>
  <c r="Q115" i="32"/>
  <c r="Q113" i="32"/>
  <c r="Q111" i="32"/>
  <c r="Q106" i="32"/>
  <c r="Q102" i="32"/>
  <c r="Q100" i="32"/>
  <c r="Q98" i="32"/>
  <c r="Q96" i="32"/>
  <c r="Q94" i="32"/>
  <c r="Q92" i="32"/>
  <c r="Q87" i="32"/>
  <c r="Q81" i="32"/>
  <c r="Q78" i="32"/>
  <c r="Q73" i="32"/>
  <c r="Q71" i="32"/>
  <c r="Q64" i="32"/>
  <c r="Q61" i="32"/>
  <c r="Q57" i="32"/>
  <c r="Q53" i="32"/>
  <c r="Q49" i="32"/>
  <c r="Q41" i="32"/>
  <c r="Q34" i="32"/>
  <c r="Q32" i="32"/>
  <c r="Q25" i="32"/>
  <c r="Q22" i="32"/>
  <c r="Q20" i="32"/>
  <c r="Q18" i="32"/>
  <c r="Q16" i="32"/>
  <c r="Q164" i="32"/>
  <c r="Q160" i="32"/>
  <c r="Q153" i="32"/>
  <c r="Q149" i="32"/>
  <c r="Q145" i="32"/>
  <c r="Q138" i="32"/>
  <c r="Q132" i="32"/>
  <c r="Q129" i="32"/>
  <c r="Q124" i="32"/>
  <c r="Q121" i="32"/>
  <c r="Q2" i="32"/>
  <c r="L11" i="32"/>
  <c r="P12" i="32"/>
  <c r="N11" i="32"/>
  <c r="J3" i="32"/>
  <c r="J189" i="32"/>
  <c r="J191" i="32" s="1"/>
  <c r="J251" i="32" s="1"/>
  <c r="Q191" i="32" l="1"/>
  <c r="P273" i="34"/>
  <c r="Q267" i="34"/>
  <c r="P295" i="33"/>
  <c r="Q289" i="33"/>
  <c r="J272" i="32"/>
  <c r="J286" i="32" s="1"/>
  <c r="J292" i="32" s="1"/>
  <c r="J298" i="32" s="1"/>
  <c r="J304" i="32" s="1"/>
  <c r="J253" i="32"/>
  <c r="L12" i="32"/>
  <c r="P272" i="32"/>
  <c r="P253" i="32"/>
  <c r="Q253" i="32" s="1"/>
  <c r="Q89" i="32"/>
  <c r="N12" i="32"/>
  <c r="P279" i="34" l="1"/>
  <c r="Q273" i="34"/>
  <c r="P301" i="33"/>
  <c r="Q295" i="33"/>
  <c r="P286" i="32"/>
  <c r="Q272" i="32"/>
  <c r="P285" i="34" l="1"/>
  <c r="Q285" i="34" s="1"/>
  <c r="Q279" i="34"/>
  <c r="P307" i="33"/>
  <c r="Q307" i="33" s="1"/>
  <c r="Q301" i="33"/>
  <c r="P292" i="32"/>
  <c r="Q286" i="32"/>
  <c r="P298" i="32" l="1"/>
  <c r="Q292" i="32"/>
  <c r="P304" i="32" l="1"/>
  <c r="Q304" i="32" s="1"/>
  <c r="Q298" i="32"/>
  <c r="L46" i="14" l="1"/>
  <c r="V46" i="14" s="1"/>
  <c r="A46" i="14"/>
  <c r="A47" i="14"/>
  <c r="A48" i="14"/>
  <c r="A53" i="14"/>
  <c r="L32" i="14"/>
  <c r="E32" i="13"/>
  <c r="I32" i="13"/>
  <c r="H21" i="13"/>
  <c r="G21" i="13"/>
  <c r="E21" i="13"/>
  <c r="E35" i="13" s="1"/>
  <c r="J32" i="13"/>
  <c r="H32" i="13"/>
  <c r="G32" i="13"/>
  <c r="K29" i="13"/>
  <c r="K28" i="13"/>
  <c r="K27" i="13"/>
  <c r="K26" i="13"/>
  <c r="I21" i="13"/>
  <c r="I35" i="13" s="1"/>
  <c r="K19" i="13"/>
  <c r="K18" i="13"/>
  <c r="K17" i="13"/>
  <c r="K16" i="13"/>
  <c r="K15" i="13"/>
  <c r="K14" i="13"/>
  <c r="K13" i="13"/>
  <c r="K12" i="13"/>
  <c r="K28" i="11"/>
  <c r="U28" i="11" s="1"/>
  <c r="A28" i="11"/>
  <c r="K53" i="11"/>
  <c r="F49" i="11"/>
  <c r="K47" i="11"/>
  <c r="K49" i="11" s="1"/>
  <c r="J44" i="11"/>
  <c r="G44" i="11"/>
  <c r="J55" i="11"/>
  <c r="I55" i="11"/>
  <c r="H55" i="11"/>
  <c r="G55" i="11"/>
  <c r="F55" i="11"/>
  <c r="E55" i="11"/>
  <c r="J49" i="11"/>
  <c r="I49" i="11"/>
  <c r="H49" i="11"/>
  <c r="G49" i="11"/>
  <c r="E49" i="11"/>
  <c r="I44" i="11"/>
  <c r="H44" i="11"/>
  <c r="F44" i="11"/>
  <c r="E44" i="11"/>
  <c r="K42" i="11"/>
  <c r="K41" i="11"/>
  <c r="K40" i="11"/>
  <c r="K39" i="11"/>
  <c r="K38" i="11"/>
  <c r="L37" i="10"/>
  <c r="V37" i="10" s="1"/>
  <c r="A37" i="10"/>
  <c r="A40" i="10"/>
  <c r="L29" i="10"/>
  <c r="N24" i="10"/>
  <c r="O24" i="10"/>
  <c r="P24" i="10"/>
  <c r="Q24" i="10"/>
  <c r="R24" i="10"/>
  <c r="S24" i="10"/>
  <c r="N47" i="10"/>
  <c r="O47" i="10"/>
  <c r="P47" i="10"/>
  <c r="Q47" i="10"/>
  <c r="R47" i="10"/>
  <c r="S47" i="10"/>
  <c r="O53" i="10"/>
  <c r="S53" i="10"/>
  <c r="I15" i="9"/>
  <c r="K15" i="9"/>
  <c r="J15" i="9"/>
  <c r="H15" i="9"/>
  <c r="L13" i="9"/>
  <c r="L12" i="9"/>
  <c r="K39" i="8"/>
  <c r="G39" i="8"/>
  <c r="I39" i="8"/>
  <c r="L36" i="8"/>
  <c r="H39" i="8"/>
  <c r="F22" i="8"/>
  <c r="F42" i="8" s="1"/>
  <c r="J39" i="8"/>
  <c r="F39" i="8"/>
  <c r="L37" i="8"/>
  <c r="L35" i="8"/>
  <c r="L34" i="8"/>
  <c r="L33" i="8"/>
  <c r="L32" i="8"/>
  <c r="L31" i="8"/>
  <c r="L30" i="8"/>
  <c r="L29" i="8"/>
  <c r="L28" i="8"/>
  <c r="L27" i="8"/>
  <c r="J22" i="8"/>
  <c r="I22" i="8"/>
  <c r="H22" i="8"/>
  <c r="G22" i="8"/>
  <c r="L20" i="8"/>
  <c r="L19" i="8"/>
  <c r="L18" i="8"/>
  <c r="L17" i="8"/>
  <c r="L16" i="8"/>
  <c r="L15" i="8"/>
  <c r="L14" i="8"/>
  <c r="L13" i="8"/>
  <c r="L12" i="8"/>
  <c r="L18" i="3"/>
  <c r="V18" i="3" s="1"/>
  <c r="A18" i="3"/>
  <c r="H35" i="2"/>
  <c r="H12" i="2"/>
  <c r="H159" i="2"/>
  <c r="H158" i="2"/>
  <c r="H162" i="2" s="1"/>
  <c r="H153" i="2"/>
  <c r="H140" i="2"/>
  <c r="H141" i="2"/>
  <c r="H142" i="2"/>
  <c r="H144" i="2"/>
  <c r="H145" i="2"/>
  <c r="H146" i="2"/>
  <c r="H147" i="2"/>
  <c r="H148" i="2"/>
  <c r="H139" i="2"/>
  <c r="E134" i="2"/>
  <c r="H127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4" i="2"/>
  <c r="H75" i="2"/>
  <c r="H76" i="2"/>
  <c r="H77" i="2"/>
  <c r="H79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48" i="2"/>
  <c r="E4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E155" i="2"/>
  <c r="E129" i="2"/>
  <c r="I29" i="1"/>
  <c r="H35" i="13" l="1"/>
  <c r="G35" i="13"/>
  <c r="P53" i="10"/>
  <c r="L47" i="14"/>
  <c r="V47" i="14" s="1"/>
  <c r="I38" i="13"/>
  <c r="K30" i="13"/>
  <c r="G38" i="13"/>
  <c r="F32" i="13"/>
  <c r="E38" i="13"/>
  <c r="H38" i="13"/>
  <c r="F21" i="13"/>
  <c r="F35" i="13" s="1"/>
  <c r="J21" i="13"/>
  <c r="K21" i="13"/>
  <c r="K52" i="11"/>
  <c r="L12" i="10"/>
  <c r="R53" i="10"/>
  <c r="N53" i="10"/>
  <c r="Q53" i="10"/>
  <c r="J21" i="9"/>
  <c r="H21" i="9"/>
  <c r="K21" i="9"/>
  <c r="I21" i="9"/>
  <c r="G15" i="9"/>
  <c r="L15" i="9"/>
  <c r="L18" i="9" s="1"/>
  <c r="F15" i="9"/>
  <c r="F21" i="9" s="1"/>
  <c r="L39" i="8"/>
  <c r="K22" i="8"/>
  <c r="L22" i="8"/>
  <c r="H37" i="2"/>
  <c r="C6" i="15" s="1"/>
  <c r="H132" i="2"/>
  <c r="H40" i="2"/>
  <c r="E150" i="2"/>
  <c r="E123" i="2"/>
  <c r="E37" i="2"/>
  <c r="F38" i="13" l="1"/>
  <c r="J35" i="13"/>
  <c r="J38" i="13" s="1"/>
  <c r="K32" i="13"/>
  <c r="K35" i="13" s="1"/>
  <c r="K44" i="11"/>
  <c r="K55" i="11"/>
  <c r="L53" i="14"/>
  <c r="V53" i="14" s="1"/>
  <c r="L40" i="10"/>
  <c r="V40" i="10" s="1"/>
  <c r="G21" i="9"/>
  <c r="E164" i="2"/>
  <c r="E167" i="2" s="1"/>
  <c r="H134" i="2" l="1"/>
  <c r="I28" i="1"/>
  <c r="I56" i="1"/>
  <c r="I54" i="1"/>
  <c r="I41" i="1"/>
  <c r="I66" i="1"/>
  <c r="I76" i="1"/>
  <c r="T42" i="14"/>
  <c r="A42" i="14"/>
  <c r="A60" i="14"/>
  <c r="A57" i="14"/>
  <c r="A58" i="14"/>
  <c r="A25" i="14"/>
  <c r="A56" i="14"/>
  <c r="A33" i="14"/>
  <c r="A34" i="14"/>
  <c r="A35" i="14"/>
  <c r="A36" i="14"/>
  <c r="A37" i="14"/>
  <c r="A38" i="14"/>
  <c r="A39" i="14"/>
  <c r="A40" i="14"/>
  <c r="A41" i="14"/>
  <c r="A43" i="14"/>
  <c r="A44" i="14"/>
  <c r="A45" i="14"/>
  <c r="A49" i="14"/>
  <c r="A50" i="14"/>
  <c r="A51" i="14"/>
  <c r="A52" i="14"/>
  <c r="A54" i="14"/>
  <c r="A55" i="14"/>
  <c r="A59" i="14"/>
  <c r="A61" i="14"/>
  <c r="A32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6" i="13"/>
  <c r="A27" i="13"/>
  <c r="A28" i="13"/>
  <c r="A29" i="13"/>
  <c r="A30" i="13"/>
  <c r="A12" i="13"/>
  <c r="A13" i="13"/>
  <c r="A14" i="13"/>
  <c r="A15" i="13"/>
  <c r="A16" i="13"/>
  <c r="A17" i="13"/>
  <c r="A18" i="13"/>
  <c r="A19" i="13"/>
  <c r="S40" i="11"/>
  <c r="U40" i="11" s="1"/>
  <c r="A40" i="11"/>
  <c r="A41" i="11"/>
  <c r="A53" i="11"/>
  <c r="A52" i="11"/>
  <c r="A47" i="11"/>
  <c r="A38" i="11"/>
  <c r="A39" i="11"/>
  <c r="A42" i="11"/>
  <c r="A22" i="11"/>
  <c r="A23" i="11"/>
  <c r="A24" i="11"/>
  <c r="A25" i="11"/>
  <c r="A26" i="11"/>
  <c r="A27" i="11"/>
  <c r="A29" i="11"/>
  <c r="A30" i="11"/>
  <c r="A31" i="11"/>
  <c r="A12" i="11"/>
  <c r="A13" i="11"/>
  <c r="A14" i="11"/>
  <c r="A15" i="11"/>
  <c r="T44" i="10"/>
  <c r="A44" i="10"/>
  <c r="A42" i="10"/>
  <c r="A38" i="10"/>
  <c r="A22" i="10"/>
  <c r="A30" i="10"/>
  <c r="A31" i="10"/>
  <c r="A32" i="10"/>
  <c r="A33" i="10"/>
  <c r="A34" i="10"/>
  <c r="A35" i="10"/>
  <c r="A36" i="10"/>
  <c r="A39" i="10"/>
  <c r="A41" i="10"/>
  <c r="A43" i="10"/>
  <c r="A45" i="10"/>
  <c r="A29" i="10"/>
  <c r="A13" i="10"/>
  <c r="A14" i="10"/>
  <c r="A15" i="10"/>
  <c r="A16" i="10"/>
  <c r="A17" i="10"/>
  <c r="A18" i="10"/>
  <c r="A19" i="10"/>
  <c r="A20" i="10"/>
  <c r="A21" i="10"/>
  <c r="A12" i="10"/>
  <c r="A12" i="9"/>
  <c r="A13" i="9"/>
  <c r="T36" i="8"/>
  <c r="V36" i="8" s="1"/>
  <c r="T37" i="8"/>
  <c r="V37" i="8" s="1"/>
  <c r="T27" i="8"/>
  <c r="V27" i="8" s="1"/>
  <c r="T28" i="8"/>
  <c r="V28" i="8" s="1"/>
  <c r="T29" i="8"/>
  <c r="V29" i="8" s="1"/>
  <c r="T30" i="8"/>
  <c r="V30" i="8" s="1"/>
  <c r="T31" i="8"/>
  <c r="V31" i="8" s="1"/>
  <c r="T32" i="8"/>
  <c r="V32" i="8" s="1"/>
  <c r="T33" i="8"/>
  <c r="V33" i="8" s="1"/>
  <c r="T34" i="8"/>
  <c r="V34" i="8" s="1"/>
  <c r="T35" i="8"/>
  <c r="V35" i="8" s="1"/>
  <c r="A37" i="8"/>
  <c r="A36" i="8"/>
  <c r="A35" i="8"/>
  <c r="A34" i="8"/>
  <c r="A33" i="8"/>
  <c r="A32" i="8"/>
  <c r="A31" i="8"/>
  <c r="A30" i="8"/>
  <c r="A29" i="8"/>
  <c r="A28" i="8"/>
  <c r="A27" i="8"/>
  <c r="A12" i="8"/>
  <c r="A13" i="8"/>
  <c r="A14" i="8"/>
  <c r="A15" i="8"/>
  <c r="A16" i="8"/>
  <c r="A17" i="8"/>
  <c r="A18" i="8"/>
  <c r="A19" i="8"/>
  <c r="A20" i="8"/>
  <c r="A40" i="3"/>
  <c r="A39" i="3"/>
  <c r="A34" i="3"/>
  <c r="A26" i="3"/>
  <c r="A27" i="3"/>
  <c r="A28" i="3"/>
  <c r="A29" i="3"/>
  <c r="A25" i="3"/>
  <c r="A13" i="3"/>
  <c r="A14" i="3"/>
  <c r="A15" i="3"/>
  <c r="A16" i="3"/>
  <c r="A17" i="3"/>
  <c r="V39" i="8" l="1"/>
  <c r="G9" i="15" s="1"/>
  <c r="J63" i="14"/>
  <c r="I63" i="14"/>
  <c r="L39" i="10"/>
  <c r="K36" i="3"/>
  <c r="G36" i="3"/>
  <c r="J36" i="3"/>
  <c r="I36" i="3"/>
  <c r="H36" i="3"/>
  <c r="H20" i="3"/>
  <c r="I20" i="3"/>
  <c r="F134" i="2"/>
  <c r="T58" i="14"/>
  <c r="T57" i="14"/>
  <c r="T56" i="14"/>
  <c r="T42" i="10"/>
  <c r="K27" i="14" l="1"/>
  <c r="K63" i="14"/>
  <c r="F63" i="14"/>
  <c r="L37" i="14"/>
  <c r="L48" i="14"/>
  <c r="L33" i="14"/>
  <c r="L38" i="14"/>
  <c r="L49" i="14"/>
  <c r="G27" i="14"/>
  <c r="L16" i="14"/>
  <c r="L23" i="14"/>
  <c r="L25" i="14"/>
  <c r="L34" i="14"/>
  <c r="L39" i="14"/>
  <c r="L43" i="14"/>
  <c r="L50" i="14"/>
  <c r="L17" i="14"/>
  <c r="L24" i="14"/>
  <c r="G63" i="14"/>
  <c r="L56" i="14"/>
  <c r="V56" i="14" s="1"/>
  <c r="L55" i="14"/>
  <c r="L14" i="14"/>
  <c r="L21" i="14"/>
  <c r="J27" i="14"/>
  <c r="J68" i="14" s="1"/>
  <c r="I27" i="14"/>
  <c r="I68" i="14" s="1"/>
  <c r="L57" i="14"/>
  <c r="V57" i="14" s="1"/>
  <c r="L35" i="14"/>
  <c r="L41" i="14"/>
  <c r="L59" i="14"/>
  <c r="L15" i="14"/>
  <c r="L22" i="14"/>
  <c r="L58" i="14"/>
  <c r="V58" i="14" s="1"/>
  <c r="L36" i="14"/>
  <c r="L45" i="14"/>
  <c r="L52" i="14"/>
  <c r="H27" i="14"/>
  <c r="L12" i="14"/>
  <c r="F27" i="14"/>
  <c r="L19" i="14"/>
  <c r="L42" i="14"/>
  <c r="V42" i="14" s="1"/>
  <c r="L54" i="14"/>
  <c r="H63" i="14"/>
  <c r="L13" i="14"/>
  <c r="L20" i="14"/>
  <c r="L60" i="14"/>
  <c r="L40" i="14"/>
  <c r="L44" i="14"/>
  <c r="L51" i="14"/>
  <c r="L61" i="14"/>
  <c r="L18" i="14"/>
  <c r="H33" i="11"/>
  <c r="I17" i="11"/>
  <c r="H17" i="11"/>
  <c r="E17" i="11"/>
  <c r="G33" i="11"/>
  <c r="E33" i="11"/>
  <c r="K14" i="11"/>
  <c r="K22" i="11"/>
  <c r="K24" i="11"/>
  <c r="K27" i="11"/>
  <c r="K15" i="11"/>
  <c r="J17" i="11"/>
  <c r="J33" i="11"/>
  <c r="I33" i="11"/>
  <c r="K26" i="11"/>
  <c r="K30" i="11"/>
  <c r="F33" i="11"/>
  <c r="K23" i="11"/>
  <c r="K29" i="11"/>
  <c r="F17" i="11"/>
  <c r="K12" i="11"/>
  <c r="K25" i="11"/>
  <c r="K31" i="11"/>
  <c r="K13" i="11"/>
  <c r="G17" i="11"/>
  <c r="G57" i="11" s="1"/>
  <c r="G60" i="11" s="1"/>
  <c r="K47" i="10"/>
  <c r="I24" i="10"/>
  <c r="L22" i="10"/>
  <c r="L45" i="10"/>
  <c r="L17" i="10"/>
  <c r="L33" i="10"/>
  <c r="L36" i="10"/>
  <c r="L43" i="10"/>
  <c r="G47" i="10"/>
  <c r="H47" i="10"/>
  <c r="L31" i="10"/>
  <c r="J24" i="10"/>
  <c r="H24" i="10"/>
  <c r="H53" i="10" s="1"/>
  <c r="L15" i="10"/>
  <c r="J47" i="10"/>
  <c r="L30" i="10"/>
  <c r="L35" i="10"/>
  <c r="L13" i="10"/>
  <c r="L19" i="10"/>
  <c r="G24" i="10"/>
  <c r="K24" i="10"/>
  <c r="L38" i="10"/>
  <c r="F47" i="10"/>
  <c r="I47" i="10"/>
  <c r="L34" i="10"/>
  <c r="L14" i="10"/>
  <c r="L20" i="10"/>
  <c r="L44" i="10"/>
  <c r="V44" i="10" s="1"/>
  <c r="L41" i="10"/>
  <c r="L21" i="10"/>
  <c r="L42" i="10"/>
  <c r="V42" i="10" s="1"/>
  <c r="F24" i="10"/>
  <c r="L18" i="10"/>
  <c r="L32" i="10"/>
  <c r="L16" i="10"/>
  <c r="G42" i="3"/>
  <c r="J31" i="3"/>
  <c r="F36" i="3"/>
  <c r="L34" i="3"/>
  <c r="F31" i="3"/>
  <c r="L26" i="3"/>
  <c r="K42" i="3"/>
  <c r="L28" i="3"/>
  <c r="L40" i="3"/>
  <c r="F42" i="3"/>
  <c r="L39" i="3"/>
  <c r="H42" i="3"/>
  <c r="K31" i="3"/>
  <c r="L25" i="3"/>
  <c r="H31" i="3"/>
  <c r="G31" i="3"/>
  <c r="L29" i="3"/>
  <c r="J42" i="3"/>
  <c r="I42" i="3"/>
  <c r="L27" i="3"/>
  <c r="I31" i="3"/>
  <c r="K20" i="3"/>
  <c r="G20" i="3"/>
  <c r="J20" i="3"/>
  <c r="F20" i="3"/>
  <c r="L13" i="3"/>
  <c r="L17" i="3"/>
  <c r="L16" i="3"/>
  <c r="L14" i="3"/>
  <c r="L15" i="3"/>
  <c r="T60" i="14"/>
  <c r="T25" i="14"/>
  <c r="T48" i="14"/>
  <c r="T38" i="10"/>
  <c r="T22" i="10"/>
  <c r="F68" i="14" l="1"/>
  <c r="G68" i="14"/>
  <c r="V25" i="14"/>
  <c r="V60" i="14"/>
  <c r="V48" i="14"/>
  <c r="F57" i="11"/>
  <c r="F60" i="11" s="1"/>
  <c r="J57" i="11"/>
  <c r="J60" i="11" s="1"/>
  <c r="E57" i="11"/>
  <c r="E60" i="11" s="1"/>
  <c r="H57" i="11"/>
  <c r="H60" i="11" s="1"/>
  <c r="K53" i="10"/>
  <c r="F53" i="10"/>
  <c r="G53" i="10"/>
  <c r="V22" i="10"/>
  <c r="V38" i="10"/>
  <c r="L36" i="3"/>
  <c r="L63" i="14"/>
  <c r="L27" i="14"/>
  <c r="H68" i="14"/>
  <c r="K68" i="14"/>
  <c r="K17" i="11"/>
  <c r="K33" i="11"/>
  <c r="I57" i="11"/>
  <c r="I60" i="11" s="1"/>
  <c r="I53" i="10"/>
  <c r="L24" i="10"/>
  <c r="L47" i="10"/>
  <c r="L50" i="10" s="1"/>
  <c r="J53" i="10"/>
  <c r="L42" i="3"/>
  <c r="L31" i="3"/>
  <c r="L20" i="3"/>
  <c r="K57" i="11" l="1"/>
  <c r="L44" i="3"/>
  <c r="A3" i="2"/>
  <c r="B3" i="3" l="1"/>
  <c r="B3" i="8" s="1"/>
  <c r="B3" i="9" s="1"/>
  <c r="B3" i="10" s="1"/>
  <c r="B3" i="11" s="1"/>
  <c r="B3" i="13" s="1"/>
  <c r="B3" i="14" s="1"/>
  <c r="T13" i="3"/>
  <c r="V13" i="3" s="1"/>
  <c r="T61" i="14" l="1"/>
  <c r="V61" i="14" s="1"/>
  <c r="T59" i="14"/>
  <c r="V59" i="14" s="1"/>
  <c r="T54" i="14"/>
  <c r="V54" i="14" s="1"/>
  <c r="T52" i="14"/>
  <c r="V52" i="14" s="1"/>
  <c r="T51" i="14"/>
  <c r="V51" i="14" s="1"/>
  <c r="T50" i="14"/>
  <c r="V50" i="14" s="1"/>
  <c r="T43" i="14"/>
  <c r="V43" i="14" s="1"/>
  <c r="T41" i="14"/>
  <c r="V41" i="14" s="1"/>
  <c r="T40" i="14"/>
  <c r="V40" i="14" s="1"/>
  <c r="T39" i="14"/>
  <c r="V39" i="14" s="1"/>
  <c r="T38" i="14"/>
  <c r="V38" i="14" s="1"/>
  <c r="T37" i="14"/>
  <c r="V37" i="14" s="1"/>
  <c r="T36" i="14"/>
  <c r="V36" i="14" s="1"/>
  <c r="T35" i="14"/>
  <c r="V35" i="14" s="1"/>
  <c r="T34" i="14"/>
  <c r="V34" i="14" s="1"/>
  <c r="T33" i="14"/>
  <c r="V33" i="14" s="1"/>
  <c r="T32" i="14"/>
  <c r="V32" i="14" s="1"/>
  <c r="T23" i="14"/>
  <c r="V23" i="14" s="1"/>
  <c r="T18" i="14"/>
  <c r="V18" i="14" s="1"/>
  <c r="T17" i="14"/>
  <c r="V17" i="14" s="1"/>
  <c r="T16" i="14"/>
  <c r="V16" i="14" s="1"/>
  <c r="T15" i="14"/>
  <c r="V15" i="14" s="1"/>
  <c r="T14" i="14"/>
  <c r="V14" i="14" s="1"/>
  <c r="T13" i="14"/>
  <c r="V13" i="14" s="1"/>
  <c r="T12" i="14"/>
  <c r="V12" i="14" s="1"/>
  <c r="T55" i="14"/>
  <c r="V55" i="14" s="1"/>
  <c r="T44" i="14"/>
  <c r="V44" i="14" s="1"/>
  <c r="T24" i="14"/>
  <c r="V24" i="14" s="1"/>
  <c r="M17" i="11"/>
  <c r="S26" i="11"/>
  <c r="U26" i="11" s="1"/>
  <c r="S24" i="11"/>
  <c r="U24" i="11" s="1"/>
  <c r="S23" i="11"/>
  <c r="U23" i="11" s="1"/>
  <c r="S22" i="11"/>
  <c r="U22" i="11" s="1"/>
  <c r="S12" i="11"/>
  <c r="U12" i="11" s="1"/>
  <c r="S13" i="11"/>
  <c r="U13" i="11" s="1"/>
  <c r="AF38" i="11"/>
  <c r="S53" i="11"/>
  <c r="U53" i="11" s="1"/>
  <c r="S52" i="11"/>
  <c r="U52" i="11" s="1"/>
  <c r="U55" i="11" s="1"/>
  <c r="J17" i="15" s="1"/>
  <c r="S47" i="11"/>
  <c r="U47" i="11" s="1"/>
  <c r="U49" i="11" s="1"/>
  <c r="J16" i="15" s="1"/>
  <c r="S42" i="11"/>
  <c r="U42" i="11" s="1"/>
  <c r="S41" i="11"/>
  <c r="U41" i="11" s="1"/>
  <c r="S39" i="11"/>
  <c r="U39" i="11" s="1"/>
  <c r="S38" i="11"/>
  <c r="U38" i="11" s="1"/>
  <c r="S30" i="11"/>
  <c r="U30" i="11" s="1"/>
  <c r="S29" i="11"/>
  <c r="U29" i="11" s="1"/>
  <c r="S27" i="11"/>
  <c r="U27" i="11" s="1"/>
  <c r="S25" i="11"/>
  <c r="U25" i="11" s="1"/>
  <c r="U44" i="11" l="1"/>
  <c r="J14" i="15" s="1"/>
  <c r="T20" i="14"/>
  <c r="V20" i="14" s="1"/>
  <c r="T45" i="14"/>
  <c r="V45" i="14" s="1"/>
  <c r="T19" i="14"/>
  <c r="V19" i="14" s="1"/>
  <c r="T21" i="14"/>
  <c r="V21" i="14" s="1"/>
  <c r="T49" i="14"/>
  <c r="V49" i="14" s="1"/>
  <c r="S14" i="11"/>
  <c r="U14" i="11" s="1"/>
  <c r="T22" i="14"/>
  <c r="V22" i="14" s="1"/>
  <c r="S15" i="11"/>
  <c r="U15" i="11" s="1"/>
  <c r="S31" i="11"/>
  <c r="U31" i="11" s="1"/>
  <c r="U33" i="11" s="1"/>
  <c r="J9" i="15" s="1"/>
  <c r="T45" i="10"/>
  <c r="V45" i="10" s="1"/>
  <c r="T43" i="10"/>
  <c r="V43" i="10" s="1"/>
  <c r="T41" i="10"/>
  <c r="V41" i="10" s="1"/>
  <c r="T39" i="10"/>
  <c r="V39" i="10" s="1"/>
  <c r="T36" i="10"/>
  <c r="V36" i="10" s="1"/>
  <c r="T35" i="10"/>
  <c r="V35" i="10" s="1"/>
  <c r="T34" i="10"/>
  <c r="V34" i="10" s="1"/>
  <c r="T33" i="10"/>
  <c r="V33" i="10" s="1"/>
  <c r="T32" i="10"/>
  <c r="V32" i="10" s="1"/>
  <c r="T31" i="10"/>
  <c r="V31" i="10" s="1"/>
  <c r="T30" i="10"/>
  <c r="V30" i="10" s="1"/>
  <c r="T29" i="10"/>
  <c r="V29" i="10" s="1"/>
  <c r="T21" i="10"/>
  <c r="V21" i="10" s="1"/>
  <c r="T20" i="10"/>
  <c r="V20" i="10" s="1"/>
  <c r="T19" i="10"/>
  <c r="V19" i="10" s="1"/>
  <c r="T18" i="10"/>
  <c r="V18" i="10" s="1"/>
  <c r="T17" i="10"/>
  <c r="V17" i="10" s="1"/>
  <c r="T16" i="10"/>
  <c r="V16" i="10" s="1"/>
  <c r="T15" i="10"/>
  <c r="V15" i="10" s="1"/>
  <c r="T14" i="10"/>
  <c r="V14" i="10" s="1"/>
  <c r="T13" i="10"/>
  <c r="V13" i="10" s="1"/>
  <c r="T12" i="10"/>
  <c r="V12" i="10" s="1"/>
  <c r="V27" i="14" l="1"/>
  <c r="L6" i="15" s="1"/>
  <c r="V63" i="14"/>
  <c r="L9" i="15" s="1"/>
  <c r="U17" i="11"/>
  <c r="J6" i="15" s="1"/>
  <c r="V24" i="10"/>
  <c r="I6" i="15" s="1"/>
  <c r="V47" i="10"/>
  <c r="T13" i="9"/>
  <c r="V13" i="9" s="1"/>
  <c r="T12" i="9"/>
  <c r="V12" i="9" s="1"/>
  <c r="T14" i="8"/>
  <c r="V14" i="8" s="1"/>
  <c r="T16" i="8"/>
  <c r="V16" i="8" s="1"/>
  <c r="AG26" i="3"/>
  <c r="T13" i="8"/>
  <c r="V13" i="8" s="1"/>
  <c r="T15" i="8"/>
  <c r="V15" i="8" s="1"/>
  <c r="T17" i="8"/>
  <c r="V17" i="8" s="1"/>
  <c r="T18" i="8"/>
  <c r="V18" i="8" s="1"/>
  <c r="T19" i="8"/>
  <c r="V19" i="8" s="1"/>
  <c r="T20" i="8"/>
  <c r="V20" i="8" s="1"/>
  <c r="T40" i="3"/>
  <c r="V40" i="3" s="1"/>
  <c r="V42" i="3" s="1"/>
  <c r="F17" i="15" s="1"/>
  <c r="T39" i="3"/>
  <c r="V39" i="3" s="1"/>
  <c r="T29" i="3"/>
  <c r="V29" i="3" s="1"/>
  <c r="T28" i="3"/>
  <c r="V28" i="3" s="1"/>
  <c r="T26" i="3"/>
  <c r="V26" i="3" s="1"/>
  <c r="T17" i="3"/>
  <c r="V17" i="3" s="1"/>
  <c r="T16" i="3"/>
  <c r="V16" i="3" s="1"/>
  <c r="T34" i="3"/>
  <c r="V34" i="3" s="1"/>
  <c r="V36" i="3" s="1"/>
  <c r="F16" i="15" s="1"/>
  <c r="T27" i="3"/>
  <c r="V27" i="3" s="1"/>
  <c r="T25" i="3"/>
  <c r="V25" i="3" s="1"/>
  <c r="U57" i="11" l="1"/>
  <c r="I9" i="15"/>
  <c r="V50" i="10"/>
  <c r="V15" i="9"/>
  <c r="V18" i="9" s="1"/>
  <c r="V31" i="3"/>
  <c r="F14" i="15" s="1"/>
  <c r="T12" i="8"/>
  <c r="V12" i="8" s="1"/>
  <c r="V22" i="8" s="1"/>
  <c r="T15" i="3"/>
  <c r="V15" i="3" s="1"/>
  <c r="AG25" i="3"/>
  <c r="T14" i="3"/>
  <c r="V14" i="3" s="1"/>
  <c r="H126" i="2"/>
  <c r="I101" i="1"/>
  <c r="I96" i="1"/>
  <c r="I91" i="1"/>
  <c r="I40" i="1"/>
  <c r="I43" i="1"/>
  <c r="I45" i="1"/>
  <c r="I48" i="1"/>
  <c r="I50" i="1"/>
  <c r="I52" i="1"/>
  <c r="I55" i="1"/>
  <c r="I57" i="1"/>
  <c r="I59" i="1"/>
  <c r="I61" i="1"/>
  <c r="I62" i="1"/>
  <c r="I63" i="1"/>
  <c r="I64" i="1"/>
  <c r="I65" i="1"/>
  <c r="I67" i="1"/>
  <c r="I69" i="1"/>
  <c r="I71" i="1"/>
  <c r="I72" i="1"/>
  <c r="I73" i="1"/>
  <c r="I74" i="1"/>
  <c r="I75" i="1"/>
  <c r="I77" i="1"/>
  <c r="I38" i="1"/>
  <c r="I107" i="1"/>
  <c r="I106" i="1"/>
  <c r="I90" i="1"/>
  <c r="I89" i="1"/>
  <c r="I88" i="1"/>
  <c r="I86" i="1"/>
  <c r="I85" i="1"/>
  <c r="I70" i="1"/>
  <c r="I68" i="1"/>
  <c r="I60" i="1"/>
  <c r="I58" i="1"/>
  <c r="I53" i="1"/>
  <c r="I51" i="1"/>
  <c r="I49" i="1"/>
  <c r="I46" i="1"/>
  <c r="I44" i="1"/>
  <c r="I42" i="1"/>
  <c r="I18" i="1"/>
  <c r="I22" i="1"/>
  <c r="I25" i="1"/>
  <c r="I30" i="1"/>
  <c r="I13" i="1"/>
  <c r="I14" i="1"/>
  <c r="I15" i="1"/>
  <c r="I16" i="1"/>
  <c r="I17" i="1"/>
  <c r="I19" i="1"/>
  <c r="I21" i="1"/>
  <c r="I31" i="1"/>
  <c r="M10" i="22"/>
  <c r="M11" i="22"/>
  <c r="M12" i="22"/>
  <c r="M7" i="15"/>
  <c r="M8" i="15"/>
  <c r="M10" i="15"/>
  <c r="M11" i="15"/>
  <c r="M12" i="15"/>
  <c r="M13" i="15"/>
  <c r="D8" i="15"/>
  <c r="D10" i="15"/>
  <c r="D11" i="15"/>
  <c r="H6" i="15" l="1"/>
  <c r="G6" i="15"/>
  <c r="V20" i="3"/>
  <c r="O10" i="15"/>
  <c r="I39" i="1"/>
  <c r="I84" i="1"/>
  <c r="O8" i="15"/>
  <c r="I87" i="1"/>
  <c r="I47" i="1"/>
  <c r="I27" i="1"/>
  <c r="I24" i="1"/>
  <c r="I26" i="1"/>
  <c r="I23" i="1"/>
  <c r="I20" i="1"/>
  <c r="I12" i="1"/>
  <c r="O11" i="15"/>
  <c r="F9" i="15" l="1"/>
  <c r="V44" i="3"/>
  <c r="Q8" i="15" l="1"/>
  <c r="Q10" i="15"/>
  <c r="Q11" i="15"/>
  <c r="L38" i="1" l="1"/>
  <c r="L13" i="1"/>
  <c r="L14" i="1"/>
  <c r="L15" i="1"/>
  <c r="L16" i="1"/>
  <c r="L17" i="1"/>
  <c r="L18" i="1"/>
  <c r="L19" i="1"/>
  <c r="L20" i="1"/>
  <c r="L21" i="1"/>
  <c r="L12" i="1"/>
  <c r="K13" i="1" l="1"/>
  <c r="M13" i="1" s="1"/>
  <c r="K14" i="1"/>
  <c r="M14" i="1" s="1"/>
  <c r="K15" i="1"/>
  <c r="M15" i="1" s="1"/>
  <c r="K16" i="1"/>
  <c r="M16" i="1" s="1"/>
  <c r="K12" i="1"/>
  <c r="M12" i="1" s="1"/>
  <c r="K38" i="1"/>
  <c r="J132" i="2"/>
  <c r="L97" i="2"/>
  <c r="L92" i="2"/>
  <c r="M38" i="1" l="1"/>
  <c r="M79" i="1" s="1"/>
  <c r="O38" i="1"/>
  <c r="L93" i="2"/>
  <c r="L90" i="2"/>
  <c r="L94" i="2"/>
  <c r="L99" i="2"/>
  <c r="L100" i="2"/>
  <c r="L91" i="2"/>
  <c r="L96" i="2"/>
  <c r="N44" i="1"/>
  <c r="N43" i="1"/>
  <c r="K20" i="1"/>
  <c r="M20" i="1" s="1"/>
  <c r="N20" i="1" s="1"/>
  <c r="K19" i="1"/>
  <c r="M19" i="1" s="1"/>
  <c r="N19" i="1" s="1"/>
  <c r="K18" i="1"/>
  <c r="M18" i="1" s="1"/>
  <c r="N18" i="1" s="1"/>
  <c r="K17" i="1"/>
  <c r="M17" i="1" s="1"/>
  <c r="N51" i="1"/>
  <c r="N47" i="1"/>
  <c r="N40" i="1"/>
  <c r="N39" i="1"/>
  <c r="N46" i="1"/>
  <c r="N45" i="1"/>
  <c r="N50" i="1"/>
  <c r="O50" i="1"/>
  <c r="O12" i="1"/>
  <c r="O15" i="1"/>
  <c r="O60" i="1"/>
  <c r="O14" i="1"/>
  <c r="O59" i="1"/>
  <c r="O13" i="1"/>
  <c r="O53" i="1"/>
  <c r="L98" i="2"/>
  <c r="O16" i="1"/>
  <c r="O55" i="1"/>
  <c r="O48" i="1"/>
  <c r="O57" i="1"/>
  <c r="K132" i="2"/>
  <c r="K134" i="2" s="1"/>
  <c r="D11" i="22" s="1"/>
  <c r="O42" i="1"/>
  <c r="N42" i="1"/>
  <c r="O49" i="1"/>
  <c r="O58" i="1"/>
  <c r="K21" i="1"/>
  <c r="O21" i="1" s="1"/>
  <c r="S30" i="13"/>
  <c r="U30" i="13" s="1"/>
  <c r="P18" i="15"/>
  <c r="N17" i="1" l="1"/>
  <c r="O46" i="1"/>
  <c r="O40" i="1"/>
  <c r="O17" i="1"/>
  <c r="O43" i="1"/>
  <c r="O18" i="1"/>
  <c r="O47" i="1"/>
  <c r="O44" i="1"/>
  <c r="O39" i="1"/>
  <c r="O45" i="1"/>
  <c r="O51" i="1"/>
  <c r="O19" i="1"/>
  <c r="O20" i="1"/>
  <c r="M21" i="1"/>
  <c r="N21" i="1" s="1"/>
  <c r="O52" i="1"/>
  <c r="N38" i="1"/>
  <c r="C10" i="24" s="1"/>
  <c r="M33" i="1" l="1"/>
  <c r="N52" i="1"/>
  <c r="C8" i="24" s="1"/>
  <c r="C13" i="24" s="1"/>
  <c r="F123" i="2"/>
  <c r="F129" i="2" l="1"/>
  <c r="F42" i="2"/>
  <c r="S63" i="14"/>
  <c r="R63" i="14"/>
  <c r="Q63" i="14"/>
  <c r="P63" i="14"/>
  <c r="O63" i="14"/>
  <c r="N63" i="14"/>
  <c r="S27" i="14"/>
  <c r="R27" i="14"/>
  <c r="Q27" i="14"/>
  <c r="P27" i="14"/>
  <c r="O27" i="14"/>
  <c r="N27" i="14"/>
  <c r="AK17" i="14" l="1"/>
  <c r="AK36" i="14"/>
  <c r="AK32" i="14"/>
  <c r="AK44" i="14"/>
  <c r="AK33" i="14"/>
  <c r="AK38" i="14"/>
  <c r="AK16" i="14"/>
  <c r="AK18" i="14"/>
  <c r="AK34" i="14"/>
  <c r="AK35" i="14"/>
  <c r="AK37" i="14"/>
  <c r="AK39" i="14"/>
  <c r="AK43" i="14"/>
  <c r="N68" i="14"/>
  <c r="P68" i="14"/>
  <c r="T27" i="14"/>
  <c r="O68" i="14"/>
  <c r="S68" i="14"/>
  <c r="R68" i="14"/>
  <c r="Q68" i="14"/>
  <c r="M32" i="13"/>
  <c r="R32" i="13"/>
  <c r="Q32" i="13"/>
  <c r="P32" i="13"/>
  <c r="O32" i="13"/>
  <c r="N32" i="13"/>
  <c r="S29" i="13"/>
  <c r="U29" i="13" s="1"/>
  <c r="S28" i="13"/>
  <c r="U28" i="13" s="1"/>
  <c r="S26" i="13"/>
  <c r="U26" i="13" s="1"/>
  <c r="R21" i="13"/>
  <c r="R35" i="13" s="1"/>
  <c r="Q21" i="13"/>
  <c r="Q35" i="13" s="1"/>
  <c r="P21" i="13"/>
  <c r="P35" i="13" s="1"/>
  <c r="O21" i="13"/>
  <c r="N21" i="13"/>
  <c r="N35" i="13" s="1"/>
  <c r="M21" i="13"/>
  <c r="S19" i="13"/>
  <c r="U19" i="13" s="1"/>
  <c r="S18" i="13"/>
  <c r="U18" i="13" s="1"/>
  <c r="S17" i="13"/>
  <c r="U17" i="13" s="1"/>
  <c r="S16" i="13"/>
  <c r="U16" i="13" s="1"/>
  <c r="S15" i="13"/>
  <c r="U15" i="13" s="1"/>
  <c r="S14" i="13"/>
  <c r="U14" i="13" s="1"/>
  <c r="S13" i="13"/>
  <c r="U13" i="13" s="1"/>
  <c r="S12" i="13"/>
  <c r="U12" i="13" s="1"/>
  <c r="R55" i="11"/>
  <c r="Q55" i="11"/>
  <c r="P55" i="11"/>
  <c r="O55" i="11"/>
  <c r="N55" i="11"/>
  <c r="M55" i="11"/>
  <c r="R49" i="11"/>
  <c r="Q49" i="11"/>
  <c r="P49" i="11"/>
  <c r="O49" i="11"/>
  <c r="N49" i="11"/>
  <c r="M49" i="11"/>
  <c r="S49" i="11"/>
  <c r="R44" i="11"/>
  <c r="Q44" i="11"/>
  <c r="P44" i="11"/>
  <c r="O44" i="11"/>
  <c r="N44" i="11"/>
  <c r="M44" i="11"/>
  <c r="AE38" i="11"/>
  <c r="AD38" i="11"/>
  <c r="AC38" i="11"/>
  <c r="AB38" i="11"/>
  <c r="AA38" i="11"/>
  <c r="Z38" i="11"/>
  <c r="Y38" i="11"/>
  <c r="X38" i="11"/>
  <c r="W38" i="11"/>
  <c r="R33" i="11"/>
  <c r="Q33" i="11"/>
  <c r="P33" i="11"/>
  <c r="O33" i="11"/>
  <c r="N33" i="11"/>
  <c r="M33" i="11"/>
  <c r="R17" i="11"/>
  <c r="Q17" i="11"/>
  <c r="P17" i="11"/>
  <c r="O17" i="11"/>
  <c r="N17" i="11"/>
  <c r="S15" i="9"/>
  <c r="R15" i="9"/>
  <c r="R21" i="9" s="1"/>
  <c r="Q15" i="9"/>
  <c r="P15" i="9"/>
  <c r="O15" i="9"/>
  <c r="N15" i="9"/>
  <c r="N21" i="9" s="1"/>
  <c r="S39" i="8"/>
  <c r="R39" i="8"/>
  <c r="Q39" i="8"/>
  <c r="P39" i="8"/>
  <c r="O39" i="8"/>
  <c r="N39" i="8"/>
  <c r="AC33" i="8"/>
  <c r="AB33" i="8"/>
  <c r="AA33" i="8"/>
  <c r="Z33" i="8"/>
  <c r="Y33" i="8"/>
  <c r="X33" i="8"/>
  <c r="AC32" i="8"/>
  <c r="AB32" i="8"/>
  <c r="AA32" i="8"/>
  <c r="Z32" i="8"/>
  <c r="Y32" i="8"/>
  <c r="X32" i="8"/>
  <c r="AC31" i="8"/>
  <c r="AB31" i="8"/>
  <c r="AA31" i="8"/>
  <c r="Z31" i="8"/>
  <c r="Y31" i="8"/>
  <c r="X31" i="8"/>
  <c r="AC30" i="8"/>
  <c r="AB30" i="8"/>
  <c r="AA30" i="8"/>
  <c r="Z30" i="8"/>
  <c r="Y30" i="8"/>
  <c r="X30" i="8"/>
  <c r="AC29" i="8"/>
  <c r="AB29" i="8"/>
  <c r="AA29" i="8"/>
  <c r="Z29" i="8"/>
  <c r="Y29" i="8"/>
  <c r="X29" i="8"/>
  <c r="AC28" i="8"/>
  <c r="AB28" i="8"/>
  <c r="AA28" i="8"/>
  <c r="Z28" i="8"/>
  <c r="Y28" i="8"/>
  <c r="X28" i="8"/>
  <c r="AC27" i="8"/>
  <c r="AB27" i="8"/>
  <c r="AA27" i="8"/>
  <c r="Z27" i="8"/>
  <c r="Y27" i="8"/>
  <c r="X27" i="8"/>
  <c r="S22" i="8"/>
  <c r="R22" i="8"/>
  <c r="Q22" i="8"/>
  <c r="P22" i="8"/>
  <c r="O22" i="8"/>
  <c r="N22" i="8"/>
  <c r="F150" i="2"/>
  <c r="F93" i="1"/>
  <c r="AL29" i="8" l="1"/>
  <c r="AJ29" i="8"/>
  <c r="AL31" i="8"/>
  <c r="AJ31" i="8"/>
  <c r="AL33" i="8"/>
  <c r="AJ33" i="8"/>
  <c r="AL28" i="8"/>
  <c r="AJ28" i="8"/>
  <c r="AK28" i="8" s="1"/>
  <c r="AL30" i="8"/>
  <c r="AJ30" i="8"/>
  <c r="AL32" i="8"/>
  <c r="AJ32" i="8"/>
  <c r="AK32" i="8" s="1"/>
  <c r="AL27" i="8"/>
  <c r="AJ27" i="8"/>
  <c r="O35" i="13"/>
  <c r="M35" i="13"/>
  <c r="U21" i="13"/>
  <c r="AL13" i="9"/>
  <c r="AJ13" i="9"/>
  <c r="AK13" i="9" s="1"/>
  <c r="AO8" i="9" s="1"/>
  <c r="AL12" i="9"/>
  <c r="AJ12" i="9"/>
  <c r="AK33" i="8"/>
  <c r="AI38" i="11"/>
  <c r="AK31" i="8"/>
  <c r="AJ15" i="13"/>
  <c r="AJ12" i="11"/>
  <c r="AK29" i="8"/>
  <c r="AK31" i="10"/>
  <c r="AJ16" i="13"/>
  <c r="AJ26" i="13"/>
  <c r="AJ27" i="13"/>
  <c r="AK16" i="8"/>
  <c r="AK14" i="8"/>
  <c r="D8" i="24" s="1"/>
  <c r="AK34" i="10"/>
  <c r="AJ17" i="13"/>
  <c r="AK30" i="8"/>
  <c r="AJ28" i="13"/>
  <c r="AO9" i="14"/>
  <c r="AK15" i="10"/>
  <c r="AK17" i="10"/>
  <c r="AO8" i="14"/>
  <c r="L7" i="22"/>
  <c r="AJ23" i="11"/>
  <c r="AJ25" i="11"/>
  <c r="AJ13" i="11"/>
  <c r="AJ22" i="11"/>
  <c r="AJ24" i="11"/>
  <c r="AJ26" i="11"/>
  <c r="AK16" i="10"/>
  <c r="AK29" i="10"/>
  <c r="AK30" i="10"/>
  <c r="AK32" i="10"/>
  <c r="L8" i="22"/>
  <c r="N38" i="13"/>
  <c r="R38" i="13"/>
  <c r="Q57" i="11"/>
  <c r="Q60" i="11" s="1"/>
  <c r="O38" i="13"/>
  <c r="Q38" i="13"/>
  <c r="P38" i="13"/>
  <c r="S21" i="13"/>
  <c r="M57" i="11"/>
  <c r="M60" i="11" s="1"/>
  <c r="T24" i="10"/>
  <c r="O21" i="9"/>
  <c r="S21" i="9"/>
  <c r="T63" i="14"/>
  <c r="S27" i="13"/>
  <c r="U27" i="13" s="1"/>
  <c r="P57" i="11"/>
  <c r="P60" i="11" s="1"/>
  <c r="S17" i="11"/>
  <c r="S44" i="11"/>
  <c r="R57" i="11"/>
  <c r="R60" i="11" s="1"/>
  <c r="O57" i="11"/>
  <c r="O60" i="11" s="1"/>
  <c r="N57" i="11"/>
  <c r="N60" i="11" s="1"/>
  <c r="P21" i="9"/>
  <c r="T15" i="9"/>
  <c r="T18" i="9" s="1"/>
  <c r="Q21" i="9"/>
  <c r="T22" i="8"/>
  <c r="M38" i="13"/>
  <c r="S55" i="11"/>
  <c r="S42" i="3"/>
  <c r="R42" i="3"/>
  <c r="Q42" i="3"/>
  <c r="P42" i="3"/>
  <c r="O42" i="3"/>
  <c r="N42" i="3"/>
  <c r="S36" i="3"/>
  <c r="R36" i="3"/>
  <c r="Q36" i="3"/>
  <c r="P36" i="3"/>
  <c r="O36" i="3"/>
  <c r="N36" i="3"/>
  <c r="T36" i="3"/>
  <c r="S31" i="3"/>
  <c r="R31" i="3"/>
  <c r="Q31" i="3"/>
  <c r="P31" i="3"/>
  <c r="O31" i="3"/>
  <c r="N31" i="3"/>
  <c r="AF26" i="3"/>
  <c r="AE26" i="3"/>
  <c r="AD26" i="3"/>
  <c r="AC26" i="3"/>
  <c r="AB26" i="3"/>
  <c r="AA26" i="3"/>
  <c r="Z26" i="3"/>
  <c r="Y26" i="3"/>
  <c r="X26" i="3"/>
  <c r="AF25" i="3"/>
  <c r="AE25" i="3"/>
  <c r="AD25" i="3"/>
  <c r="AC25" i="3"/>
  <c r="AB25" i="3"/>
  <c r="AA25" i="3"/>
  <c r="Z25" i="3"/>
  <c r="Y25" i="3"/>
  <c r="X25" i="3"/>
  <c r="S20" i="3"/>
  <c r="R20" i="3"/>
  <c r="Q20" i="3"/>
  <c r="P20" i="3"/>
  <c r="O20" i="3"/>
  <c r="N20" i="3"/>
  <c r="F155" i="2"/>
  <c r="H155" i="2"/>
  <c r="C16" i="15" s="1"/>
  <c r="J126" i="2"/>
  <c r="C13" i="15"/>
  <c r="D13" i="15" s="1"/>
  <c r="O13" i="15" s="1"/>
  <c r="F37" i="2"/>
  <c r="G109" i="1"/>
  <c r="F109" i="1"/>
  <c r="G103" i="1"/>
  <c r="F103" i="1"/>
  <c r="I103" i="1"/>
  <c r="B16" i="15" s="1"/>
  <c r="G98" i="1"/>
  <c r="F98" i="1"/>
  <c r="L96" i="1"/>
  <c r="K96" i="1"/>
  <c r="I98" i="1"/>
  <c r="B15" i="15" s="1"/>
  <c r="D15" i="15" s="1"/>
  <c r="G93" i="1"/>
  <c r="G79" i="1"/>
  <c r="F79" i="1"/>
  <c r="G33" i="1"/>
  <c r="F33" i="1"/>
  <c r="AJ39" i="8" l="1"/>
  <c r="AK27" i="8"/>
  <c r="D10" i="24" s="1"/>
  <c r="AN9" i="13"/>
  <c r="U32" i="13"/>
  <c r="K9" i="15" s="1"/>
  <c r="K6" i="15"/>
  <c r="M6" i="15" s="1"/>
  <c r="F164" i="2"/>
  <c r="F167" i="2" s="1"/>
  <c r="AO8" i="8"/>
  <c r="AJ26" i="3"/>
  <c r="L61" i="2"/>
  <c r="L83" i="2"/>
  <c r="L55" i="2"/>
  <c r="L62" i="2"/>
  <c r="L67" i="2"/>
  <c r="L75" i="2"/>
  <c r="L84" i="2"/>
  <c r="L54" i="2"/>
  <c r="L48" i="2"/>
  <c r="L56" i="2"/>
  <c r="L63" i="2"/>
  <c r="L68" i="2"/>
  <c r="L85" i="2"/>
  <c r="AK13" i="3"/>
  <c r="AN9" i="10"/>
  <c r="L69" i="2"/>
  <c r="AK14" i="3"/>
  <c r="AN8" i="13"/>
  <c r="L57" i="2"/>
  <c r="L64" i="2"/>
  <c r="L20" i="2"/>
  <c r="L50" i="2"/>
  <c r="L58" i="2"/>
  <c r="L70" i="2"/>
  <c r="K126" i="2"/>
  <c r="L126" i="2" s="1"/>
  <c r="AK15" i="3"/>
  <c r="AO9" i="8"/>
  <c r="L18" i="2"/>
  <c r="L21" i="2"/>
  <c r="L51" i="2"/>
  <c r="L71" i="2"/>
  <c r="L79" i="2"/>
  <c r="L127" i="2"/>
  <c r="L22" i="2"/>
  <c r="L52" i="2"/>
  <c r="L59" i="2"/>
  <c r="L65" i="2"/>
  <c r="L72" i="2"/>
  <c r="L53" i="2"/>
  <c r="L60" i="2"/>
  <c r="L66" i="2"/>
  <c r="L74" i="2"/>
  <c r="L82" i="2"/>
  <c r="AJ25" i="3"/>
  <c r="L81" i="2"/>
  <c r="O15" i="15"/>
  <c r="Q15" i="15" s="1"/>
  <c r="AN8" i="10"/>
  <c r="AN9" i="11"/>
  <c r="AN8" i="11"/>
  <c r="J7" i="22"/>
  <c r="AJ14" i="9"/>
  <c r="H7" i="22" s="1"/>
  <c r="AI44" i="11"/>
  <c r="K7" i="22"/>
  <c r="I8" i="22"/>
  <c r="J8" i="22"/>
  <c r="I7" i="22"/>
  <c r="K8" i="22"/>
  <c r="G8" i="22"/>
  <c r="G7" i="22"/>
  <c r="B7" i="22"/>
  <c r="M93" i="1"/>
  <c r="D16" i="15"/>
  <c r="I33" i="1"/>
  <c r="B6" i="15" s="1"/>
  <c r="F111" i="1"/>
  <c r="F114" i="1" s="1"/>
  <c r="L18" i="15"/>
  <c r="L19" i="15" s="1"/>
  <c r="S33" i="11"/>
  <c r="T47" i="10"/>
  <c r="T50" i="10" s="1"/>
  <c r="S32" i="13"/>
  <c r="S35" i="13" s="1"/>
  <c r="T39" i="8"/>
  <c r="T31" i="3"/>
  <c r="H150" i="2"/>
  <c r="C14" i="15" s="1"/>
  <c r="G111" i="1"/>
  <c r="G114" i="1" s="1"/>
  <c r="T42" i="3"/>
  <c r="H129" i="2"/>
  <c r="C12" i="15" s="1"/>
  <c r="D12" i="15" s="1"/>
  <c r="O12" i="15" s="1"/>
  <c r="I93" i="1"/>
  <c r="B14" i="15" s="1"/>
  <c r="H42" i="2"/>
  <c r="C7" i="15" s="1"/>
  <c r="D7" i="15" s="1"/>
  <c r="B10" i="24" l="1"/>
  <c r="U35" i="13"/>
  <c r="D11" i="24"/>
  <c r="E11" i="24" s="1"/>
  <c r="C7" i="22"/>
  <c r="E9" i="24"/>
  <c r="B8" i="24"/>
  <c r="C8" i="22"/>
  <c r="O7" i="15"/>
  <c r="Q7" i="15" s="1"/>
  <c r="O16" i="15"/>
  <c r="Q16" i="15" s="1"/>
  <c r="M7" i="22"/>
  <c r="AJ31" i="3"/>
  <c r="M9" i="22" s="1"/>
  <c r="K128" i="2"/>
  <c r="C12" i="22" s="1"/>
  <c r="D12" i="22" s="1"/>
  <c r="K123" i="2"/>
  <c r="C10" i="22"/>
  <c r="D10" i="22" s="1"/>
  <c r="M8" i="22"/>
  <c r="K150" i="2"/>
  <c r="D9" i="22" s="1"/>
  <c r="Q12" i="15"/>
  <c r="Q13" i="15"/>
  <c r="J18" i="15"/>
  <c r="J19" i="15" s="1"/>
  <c r="H123" i="2"/>
  <c r="C9" i="15" s="1"/>
  <c r="K18" i="15"/>
  <c r="K19" i="15" s="1"/>
  <c r="S57" i="11"/>
  <c r="I18" i="15"/>
  <c r="I19" i="15" s="1"/>
  <c r="H18" i="15"/>
  <c r="H19" i="15" s="1"/>
  <c r="G18" i="15"/>
  <c r="G19" i="15" s="1"/>
  <c r="T20" i="3"/>
  <c r="T44" i="3" s="1"/>
  <c r="I109" i="1"/>
  <c r="B17" i="15" s="1"/>
  <c r="C17" i="15"/>
  <c r="I79" i="1"/>
  <c r="B9" i="15" s="1"/>
  <c r="D13" i="24" l="1"/>
  <c r="D14" i="15"/>
  <c r="O14" i="15" s="1"/>
  <c r="Q14" i="15" s="1"/>
  <c r="D6" i="15"/>
  <c r="O6" i="15" s="1"/>
  <c r="Q6" i="15" s="1"/>
  <c r="D7" i="22"/>
  <c r="E8" i="24"/>
  <c r="D8" i="22"/>
  <c r="M13" i="22"/>
  <c r="H164" i="2"/>
  <c r="D17" i="15"/>
  <c r="I111" i="1"/>
  <c r="C18" i="15" l="1"/>
  <c r="C19" i="15" s="1"/>
  <c r="D13" i="22"/>
  <c r="B18" i="15"/>
  <c r="B19" i="15" s="1"/>
  <c r="B13" i="24"/>
  <c r="E10" i="24"/>
  <c r="M9" i="15"/>
  <c r="O17" i="15"/>
  <c r="Q17" i="15" s="1"/>
  <c r="F18" i="15"/>
  <c r="F19" i="15" s="1"/>
  <c r="N13" i="22" l="1"/>
  <c r="D9" i="15"/>
  <c r="O9" i="15" s="1"/>
  <c r="E13" i="24"/>
  <c r="M18" i="15"/>
  <c r="Q9" i="15" l="1"/>
  <c r="D18" i="15"/>
  <c r="O18" i="15"/>
  <c r="Q18" i="15" l="1"/>
  <c r="R18" i="15" s="1"/>
</calcChain>
</file>

<file path=xl/comments1.xml><?xml version="1.0" encoding="utf-8"?>
<comments xmlns="http://schemas.openxmlformats.org/spreadsheetml/2006/main">
  <authors>
    <author>WCNX</author>
  </authors>
  <commentList>
    <comment ref="P5" authorId="0">
      <text>
        <r>
          <rPr>
            <b/>
            <sz val="8"/>
            <color indexed="81"/>
            <rFont val="Tahoma"/>
            <family val="2"/>
          </rPr>
          <t>WCNX:</t>
        </r>
        <r>
          <rPr>
            <sz val="8"/>
            <color indexed="81"/>
            <rFont val="Tahoma"/>
            <family val="2"/>
          </rPr>
          <t xml:space="preserve">
Link to YTD Income Statement, refresh each month to ensure you are balancing revenue on a monthly basis.</t>
        </r>
      </text>
    </comment>
  </commentList>
</comments>
</file>

<file path=xl/comments2.xml><?xml version="1.0" encoding="utf-8"?>
<comments xmlns="http://schemas.openxmlformats.org/spreadsheetml/2006/main">
  <authors>
    <author>WCNX</author>
  </authors>
  <commentList>
    <comment ref="B1" authorId="0">
      <text>
        <r>
          <rPr>
            <b/>
            <sz val="8"/>
            <color indexed="81"/>
            <rFont val="Tahoma"/>
            <family val="2"/>
          </rPr>
          <t>WCNX:</t>
        </r>
        <r>
          <rPr>
            <sz val="8"/>
            <color indexed="81"/>
            <rFont val="Tahoma"/>
            <family val="2"/>
          </rPr>
          <t xml:space="preserve">
Includes bill areas: Spokane Co., Town of Latah.</t>
        </r>
      </text>
    </comment>
  </commentList>
</comments>
</file>

<file path=xl/comments3.xml><?xml version="1.0" encoding="utf-8"?>
<comments xmlns="http://schemas.openxmlformats.org/spreadsheetml/2006/main">
  <authors>
    <author>WCNX</author>
  </authors>
  <commentList>
    <comment ref="B1" authorId="0">
      <text>
        <r>
          <rPr>
            <b/>
            <sz val="8"/>
            <color indexed="81"/>
            <rFont val="Tahoma"/>
            <family val="2"/>
          </rPr>
          <t>WCNX:</t>
        </r>
        <r>
          <rPr>
            <sz val="8"/>
            <color indexed="81"/>
            <rFont val="Tahoma"/>
            <family val="2"/>
          </rPr>
          <t xml:space="preserve">
Includes bill areas: Albion, Colfax, Malden, Oakesdale, Palouse, Uniontown, Whitman County.</t>
        </r>
      </text>
    </comment>
  </commentList>
</comments>
</file>

<file path=xl/sharedStrings.xml><?xml version="1.0" encoding="utf-8"?>
<sst xmlns="http://schemas.openxmlformats.org/spreadsheetml/2006/main" count="3473" uniqueCount="559">
  <si>
    <t>Total</t>
  </si>
  <si>
    <t>Service Code</t>
  </si>
  <si>
    <t>Service Code Description</t>
  </si>
  <si>
    <t>Rate</t>
  </si>
  <si>
    <t>Revenue</t>
  </si>
  <si>
    <t>Customers</t>
  </si>
  <si>
    <t>RESIDENTIAL SERVICES</t>
  </si>
  <si>
    <t>RESIDENTIAL GARBAGE</t>
  </si>
  <si>
    <t>TOTAL RESIDENTIAL GARBAGE</t>
  </si>
  <si>
    <t>RESIDENTIAL RECYCLING</t>
  </si>
  <si>
    <t>TOTAL RESIDENTIAL RECYCLING</t>
  </si>
  <si>
    <t>COMMERCIAL SERVICES</t>
  </si>
  <si>
    <t>COMMERCIAL GARBAGE</t>
  </si>
  <si>
    <t>TOTAL COMMERCIAL GARBAGE</t>
  </si>
  <si>
    <t>COMMERCIAL RECYCLING</t>
  </si>
  <si>
    <t>TOTAL COMMERCIAL RECYCLING</t>
  </si>
  <si>
    <t>DROP BOX SERVICES</t>
  </si>
  <si>
    <t>DROP BOX HAULS/RENTAL</t>
  </si>
  <si>
    <t>TOTAL DROP BOX HAULS/RENTAL</t>
  </si>
  <si>
    <t>DROP BOX RECYLING</t>
  </si>
  <si>
    <t>TOTAL DROP BOX RECYCLING</t>
  </si>
  <si>
    <t>PASSTHROUGH DISPOSAL</t>
  </si>
  <si>
    <t>TOTAL PASSTHROUGH DISPOSAL</t>
  </si>
  <si>
    <t>Service Charges</t>
  </si>
  <si>
    <t>FINCHG</t>
  </si>
  <si>
    <t>FINANCE CHARGE</t>
  </si>
  <si>
    <t>TOTAL SERVICE CHARGES</t>
  </si>
  <si>
    <t>TOTAL REVENUE</t>
  </si>
  <si>
    <t>Empire Disposal Inc.</t>
  </si>
  <si>
    <t>RL020.0G1W001</t>
  </si>
  <si>
    <t>RL 20 GL 1X WK 1</t>
  </si>
  <si>
    <t>RL032.0G1M001</t>
  </si>
  <si>
    <t>RL 32 GL 1X MO 1</t>
  </si>
  <si>
    <t>RL032.0G1W001</t>
  </si>
  <si>
    <t>RL 32 GL 1X WK 1</t>
  </si>
  <si>
    <t>RL032.0G1W002</t>
  </si>
  <si>
    <t>RL 32 GL 1X WK 2</t>
  </si>
  <si>
    <t>RL032.0G1W003</t>
  </si>
  <si>
    <t>RL 32 GL 1X WK 3</t>
  </si>
  <si>
    <t>RL065.0G1W001</t>
  </si>
  <si>
    <t>RL 65 GL 1X WK 1</t>
  </si>
  <si>
    <t>RL065.0G1W002</t>
  </si>
  <si>
    <t>RL 65 GL 1X WK 2</t>
  </si>
  <si>
    <t>RL090.0G1W001</t>
  </si>
  <si>
    <t>RL 90 GL 1X WK 1</t>
  </si>
  <si>
    <t>RL090.0G1W002</t>
  </si>
  <si>
    <t>RL 90 GL 1X WK 2</t>
  </si>
  <si>
    <t>RL090.0G1W003</t>
  </si>
  <si>
    <t>RL 90 GL 1X WK 3</t>
  </si>
  <si>
    <t>RL32R-OC</t>
  </si>
  <si>
    <t>1 RL 32 GL ON CALL-RES</t>
  </si>
  <si>
    <t>EXTRA-RES</t>
  </si>
  <si>
    <t>EXTRA CAN, BAG, BOX-RES</t>
  </si>
  <si>
    <t>EXTRYDG-RES</t>
  </si>
  <si>
    <t>EXTRA YARDAGE - RES</t>
  </si>
  <si>
    <t>BULKY-RES</t>
  </si>
  <si>
    <t>BULKY ITEM PICK UP-RES</t>
  </si>
  <si>
    <t>OS-RES</t>
  </si>
  <si>
    <t>OVERSIZE CAN - RES</t>
  </si>
  <si>
    <t>OW-RES</t>
  </si>
  <si>
    <t>OVERFILL/WEIGHT CAN-RES</t>
  </si>
  <si>
    <t>DIST-RES</t>
  </si>
  <si>
    <t>DISTANCE FEE - RES</t>
  </si>
  <si>
    <t>REDEL-RES</t>
  </si>
  <si>
    <t>REDELIVERY FEE - RES</t>
  </si>
  <si>
    <t>REINSTATE-RES</t>
  </si>
  <si>
    <t>REINSTATE FEE - RES</t>
  </si>
  <si>
    <t>RL001.0Y1W001</t>
  </si>
  <si>
    <t>RL 1 YD 1X WK 1</t>
  </si>
  <si>
    <t>RL001.5Y1W001</t>
  </si>
  <si>
    <t>RL 1.5 YD 1X WK 1</t>
  </si>
  <si>
    <t>RL001.5Y1W002</t>
  </si>
  <si>
    <t>RL 1.5 YD 1X WK 2</t>
  </si>
  <si>
    <t>RL002.0Y1W001</t>
  </si>
  <si>
    <t>RL 2 YD 1X WK 1</t>
  </si>
  <si>
    <t>RL003.0Y1W001</t>
  </si>
  <si>
    <t>RL 3 YD 1X WK 1</t>
  </si>
  <si>
    <t>RL003.0Y1W002</t>
  </si>
  <si>
    <t>RL 3 YD 1X WK 2</t>
  </si>
  <si>
    <t>RL004.0Y1W001</t>
  </si>
  <si>
    <t>RL 4 YD 1X WK 1</t>
  </si>
  <si>
    <t>RL004.0Y1W002</t>
  </si>
  <si>
    <t>RL 4 YD 1X WK 2</t>
  </si>
  <si>
    <t>RL006.0Y1W001</t>
  </si>
  <si>
    <t>RL 6 YD 1X WK 1</t>
  </si>
  <si>
    <t>RL006.0Y1W002</t>
  </si>
  <si>
    <t>RL 6 YD 1X WK 2</t>
  </si>
  <si>
    <t>RL032.0G1W001COMM</t>
  </si>
  <si>
    <t>RL 32 GL 1X WK COMM 1</t>
  </si>
  <si>
    <t>RL032.0G1W002COMM</t>
  </si>
  <si>
    <t>RL 32 GL 1X WK COMM 2</t>
  </si>
  <si>
    <t>RL065.0G1W001COMM</t>
  </si>
  <si>
    <t>RL 65 GL 1X WK COMM 1</t>
  </si>
  <si>
    <t>RL090.0G1W001COMM</t>
  </si>
  <si>
    <t>RL 90 GL 1X WK COMM 1</t>
  </si>
  <si>
    <t>RL090.0G1W002COMM</t>
  </si>
  <si>
    <t>RL 90 GL 1X WK COMM 2</t>
  </si>
  <si>
    <t>RL1.5C-OC</t>
  </si>
  <si>
    <t>1 RL 1.5 YD ON CALL-COMM</t>
  </si>
  <si>
    <t>RL1.5TC-COMM</t>
  </si>
  <si>
    <t>RL TEMPORARY 1.5 YD-COMM</t>
  </si>
  <si>
    <t>RL2TC-COMM</t>
  </si>
  <si>
    <t>RL TEMPORARY 2 YD-COMM</t>
  </si>
  <si>
    <t>RL32C-OC</t>
  </si>
  <si>
    <t>1 RL 32 GL ON CALL - COMM</t>
  </si>
  <si>
    <t>RL3TC-COMM</t>
  </si>
  <si>
    <t>RL TEMPORARY 3 YD - COMM</t>
  </si>
  <si>
    <t>RL4C-OC</t>
  </si>
  <si>
    <t>1 RL 4 YD ON CALL-COMM</t>
  </si>
  <si>
    <t>RL4TC-COMM</t>
  </si>
  <si>
    <t>RL TEMPORARY 4 YD-COMM</t>
  </si>
  <si>
    <t>EXTRA-COMM</t>
  </si>
  <si>
    <t>EXTRA CAN, BAG, BOX-COMM</t>
  </si>
  <si>
    <t>EXTRAYDG-COMM</t>
  </si>
  <si>
    <t>EXTRA YARDAGE - COMM</t>
  </si>
  <si>
    <t>RENT1.5-COMM</t>
  </si>
  <si>
    <t>RENTAL FEE 1.5 YD COMM</t>
  </si>
  <si>
    <t>RENT1.5TEMP-COMM</t>
  </si>
  <si>
    <t xml:space="preserve">RENTAL FEE 1.5 YD TEMP - </t>
  </si>
  <si>
    <t>RENT1-COMM</t>
  </si>
  <si>
    <t>RENTAL FEE 1 YD COMM MA</t>
  </si>
  <si>
    <t>RENT2-COMM</t>
  </si>
  <si>
    <t>RENTAL FEE 2 YD COMM</t>
  </si>
  <si>
    <t>RENT2TEMP-COMM</t>
  </si>
  <si>
    <t>RENTAL FEE 2 YD TEMP - COMM</t>
  </si>
  <si>
    <t>RENT3-COMM</t>
  </si>
  <si>
    <t>RENTAL FEE 3 YD COMM</t>
  </si>
  <si>
    <t>RENT4-COMM</t>
  </si>
  <si>
    <t>RENTAL FEE 4 YD COMM</t>
  </si>
  <si>
    <t>RENT4TEMP-COMM</t>
  </si>
  <si>
    <t>RENTAL FEE 4YD TEMP - COM</t>
  </si>
  <si>
    <t>RENT6-COMM</t>
  </si>
  <si>
    <t>RENTAL FEE 6 YD COMM</t>
  </si>
  <si>
    <t>DELTEMP-COMM</t>
  </si>
  <si>
    <t>DELIVERY FEE TEMP-COMM</t>
  </si>
  <si>
    <t>DIST-COM</t>
  </si>
  <si>
    <t>DISTANCE FEE - COMM</t>
  </si>
  <si>
    <t>REINSTATE-COMM</t>
  </si>
  <si>
    <t>REINSTATE FEE - COMM</t>
  </si>
  <si>
    <t>HAUL25-RO</t>
  </si>
  <si>
    <t>HAUL 25 YD - RO</t>
  </si>
  <si>
    <t>HAUL25TEMP-RO</t>
  </si>
  <si>
    <t>HAUL 25 YD TEMP - RO</t>
  </si>
  <si>
    <t>HAUL40TEMP-RO</t>
  </si>
  <si>
    <t>HAUL 40 YD TEMP - RO</t>
  </si>
  <si>
    <t>HAUL-CP</t>
  </si>
  <si>
    <t>COMPACTOR HAUL - RO</t>
  </si>
  <si>
    <t>RENT25MO-RO</t>
  </si>
  <si>
    <t>RENTAL FEE 25YD MONTHLY</t>
  </si>
  <si>
    <t>RENT40MO-RO</t>
  </si>
  <si>
    <t>RENTAL FEE 40 YD MONTHLY</t>
  </si>
  <si>
    <t>DEL-RO</t>
  </si>
  <si>
    <t>DELIVERY FEE - RO</t>
  </si>
  <si>
    <t>MILE-RO</t>
  </si>
  <si>
    <t>MILEAGE FEE - RO</t>
  </si>
  <si>
    <t>HAULREC-RO</t>
  </si>
  <si>
    <t>HAUL RECYCLE - RO</t>
  </si>
  <si>
    <t>DISP-RO</t>
  </si>
  <si>
    <t>DISPOSAL CHARGE - RO</t>
  </si>
  <si>
    <t>RETCKC</t>
  </si>
  <si>
    <t>RETURN CHECK CHARGE</t>
  </si>
  <si>
    <t>RL032.0G1W004</t>
  </si>
  <si>
    <t>RL 32 GL 1X WK 4</t>
  </si>
  <si>
    <t>RL065.0G1W003</t>
  </si>
  <si>
    <t>RL 65 GL 1X WK 3</t>
  </si>
  <si>
    <t>RL90R-OC</t>
  </si>
  <si>
    <t>RL 90 GL ON CALL - RES</t>
  </si>
  <si>
    <t>RRECWGBG</t>
  </si>
  <si>
    <t>RESI RECYCLE WITH GARBAGE</t>
  </si>
  <si>
    <t>RL001.0Y3W001</t>
  </si>
  <si>
    <t>RL 1 YD 3X WK 1</t>
  </si>
  <si>
    <t>RL001.5Y1M001</t>
  </si>
  <si>
    <t>RL 1.5 YD 1X MO 1</t>
  </si>
  <si>
    <t>RL001.5Y1W003</t>
  </si>
  <si>
    <t>RL 1.5 YD 1X WK 3</t>
  </si>
  <si>
    <t>RL001.5Y2W001</t>
  </si>
  <si>
    <t>RL 1.5 YD 2X WK 1</t>
  </si>
  <si>
    <t>RL001.5Y3W001</t>
  </si>
  <si>
    <t>RL 1.5 YD 3X WK 1</t>
  </si>
  <si>
    <t>RL002.0Y1M001</t>
  </si>
  <si>
    <t>RL 2 YD 1X MO 1</t>
  </si>
  <si>
    <t>RL002.0Y2W001</t>
  </si>
  <si>
    <t>RL 2 YD 2X WK 1</t>
  </si>
  <si>
    <t>RL002.0Y3W001</t>
  </si>
  <si>
    <t>RL 2 YD 3X WK 1</t>
  </si>
  <si>
    <t>RL003.0Y2W001</t>
  </si>
  <si>
    <t>RL 3 YD 2X WK 1</t>
  </si>
  <si>
    <t>RL003.0Y3W001</t>
  </si>
  <si>
    <t>RL 3 YD 3X WK 1</t>
  </si>
  <si>
    <t>RL004.0Y3W001</t>
  </si>
  <si>
    <t>RL 4 YD 3X WK 1</t>
  </si>
  <si>
    <t>RL004.0Y4W001</t>
  </si>
  <si>
    <t>RL 4 YD 4X WK 1</t>
  </si>
  <si>
    <t>RL006.0Y2W001</t>
  </si>
  <si>
    <t>RL 6 YD 2X WK 1</t>
  </si>
  <si>
    <t>RL006.0Y4W001</t>
  </si>
  <si>
    <t>RL 6 YD 4X WK 1</t>
  </si>
  <si>
    <t>RL008.0Y1W001</t>
  </si>
  <si>
    <t>RL 8 YD 1X WK 1</t>
  </si>
  <si>
    <t>RL008.0Y2W001</t>
  </si>
  <si>
    <t>RL 8 YD 2X WK 1</t>
  </si>
  <si>
    <t>RL065.0G1W005COMM</t>
  </si>
  <si>
    <t>RL 65 GL 1X WK COMM 5</t>
  </si>
  <si>
    <t>RL090.0G2W001COMM</t>
  </si>
  <si>
    <t>RL 90 GL 2X WK COMM 1</t>
  </si>
  <si>
    <t>RL090.0G2W004COMM</t>
  </si>
  <si>
    <t>RL 90 GL 2X WK COMM 4</t>
  </si>
  <si>
    <t>RL1C-OC</t>
  </si>
  <si>
    <t>1 RL 1 YD ON CALL-COMM</t>
  </si>
  <si>
    <t>RL1TC-COMM</t>
  </si>
  <si>
    <t>RL TEMPORARY 1 YD-COMM</t>
  </si>
  <si>
    <t>RL2C-OC</t>
  </si>
  <si>
    <t>1 RL 2 YD ON CALL-COMM</t>
  </si>
  <si>
    <t>RL3C-OC</t>
  </si>
  <si>
    <t>1 RL 3 YD ON CALL-COMM</t>
  </si>
  <si>
    <t>RENT1TEMP-COMM</t>
  </si>
  <si>
    <t>RENTAL FEE 1 YD TEMP - COMM</t>
  </si>
  <si>
    <t>RENT3TEMP-COMM</t>
  </si>
  <si>
    <t>RENTAL FEE 3 YD TEMP - CO</t>
  </si>
  <si>
    <t>RENT8-COMM</t>
  </si>
  <si>
    <t>RENTAL FEE 8 YD COMM</t>
  </si>
  <si>
    <t>HAULMED-COMM</t>
  </si>
  <si>
    <t>MEDICAL WASTE SERVICE - COMM</t>
  </si>
  <si>
    <t>OS-COMM</t>
  </si>
  <si>
    <t>OVERSIZE CAN - COMM</t>
  </si>
  <si>
    <t>OW-COMM</t>
  </si>
  <si>
    <t>OVERFILL/WEIGHT CAN-COMM</t>
  </si>
  <si>
    <t>ADJ-COM</t>
  </si>
  <si>
    <t>ADJUSTMENT COMMERCIAL</t>
  </si>
  <si>
    <t>ROLL-COMM</t>
  </si>
  <si>
    <t>ROLL OUT CHARGE - COMM</t>
  </si>
  <si>
    <t>UNLCKC</t>
  </si>
  <si>
    <t>UNLOCKING FEE - COMM</t>
  </si>
  <si>
    <t>RECCOMSVC</t>
  </si>
  <si>
    <t>COMMERCIAL RECYCLE SERVICE</t>
  </si>
  <si>
    <t>RECCOMSVC1W001</t>
  </si>
  <si>
    <t>COMMERCIAL RECYCLE WEEKLY</t>
  </si>
  <si>
    <t>HAUL40-RO</t>
  </si>
  <si>
    <t>HAUL 40 YD - RO</t>
  </si>
  <si>
    <t>ROSVC</t>
  </si>
  <si>
    <t>ROLL OFF SERVICE</t>
  </si>
  <si>
    <t>RL001.0Y1W002</t>
  </si>
  <si>
    <t>RL 1 YD 1X WK 2</t>
  </si>
  <si>
    <t>RL003.0Y1W004</t>
  </si>
  <si>
    <t>RL 3 YD 1X WK 4</t>
  </si>
  <si>
    <t>FUEL-COMM</t>
  </si>
  <si>
    <t>FUEL &amp; MATERIAL SURCHARGE - COMM</t>
  </si>
  <si>
    <t>Army Corps Non-Regulated - Price Out</t>
  </si>
  <si>
    <t>Harrington Non-Regulated - Price Out</t>
  </si>
  <si>
    <t>Latah Co Non-Regulated - Price Out</t>
  </si>
  <si>
    <t>Rockford Non-Regulated - Price Out</t>
  </si>
  <si>
    <t>Spangle Non-Regulated - Price Out</t>
  </si>
  <si>
    <t>Starbuck Non-Regulated - Price Out</t>
  </si>
  <si>
    <t>Tekoa Co. Non-Regulated - Price Out</t>
  </si>
  <si>
    <t>Revenue Summary &amp; GL Recon - Year to Date</t>
  </si>
  <si>
    <t>Commercial Recycling</t>
  </si>
  <si>
    <t>PER GL</t>
  </si>
  <si>
    <t>Difference</t>
  </si>
  <si>
    <t>Resi MSW</t>
  </si>
  <si>
    <t>Resi Recycle</t>
  </si>
  <si>
    <t>YW</t>
  </si>
  <si>
    <t>Comm MSW</t>
  </si>
  <si>
    <t>MF MSW</t>
  </si>
  <si>
    <t>MF Recycling</t>
  </si>
  <si>
    <t>Roll Off MSW</t>
  </si>
  <si>
    <t>Roll Off Recycling</t>
  </si>
  <si>
    <t>Pass-Through</t>
  </si>
  <si>
    <t>Empire Disposal, Inc.</t>
  </si>
  <si>
    <t>Spokane Co. Reg</t>
  </si>
  <si>
    <t>Whitman Co. Reg</t>
  </si>
  <si>
    <t>Army Corps</t>
  </si>
  <si>
    <t>Harrington</t>
  </si>
  <si>
    <t>Latah Co.</t>
  </si>
  <si>
    <t>Rockford</t>
  </si>
  <si>
    <t>Spangle</t>
  </si>
  <si>
    <t>Starbuck</t>
  </si>
  <si>
    <t>Tekoa</t>
  </si>
  <si>
    <t>DISP-COMM</t>
  </si>
  <si>
    <t>DISPOSAL FEE - COMM</t>
  </si>
  <si>
    <t>ADMINFEE-COMM</t>
  </si>
  <si>
    <t>ADMIN FEE - COMM</t>
  </si>
  <si>
    <t>TRIP1-COMM</t>
  </si>
  <si>
    <t>TRIP FEE - COMM</t>
  </si>
  <si>
    <t>TRIP-RES</t>
  </si>
  <si>
    <t>TRIP FEE - RES</t>
  </si>
  <si>
    <t>RL065.0G1W002COMM</t>
  </si>
  <si>
    <t>TIME-RES</t>
  </si>
  <si>
    <t>REDEL-COMM</t>
  </si>
  <si>
    <t>RL 65 GL 1X WK COMM 2</t>
  </si>
  <si>
    <t>REDELIVERY FEE - COMM</t>
  </si>
  <si>
    <t>TIME FEE 1 - RES</t>
  </si>
  <si>
    <t>Acct</t>
  </si>
  <si>
    <t>AcctName</t>
  </si>
  <si>
    <t>Act(-2)</t>
  </si>
  <si>
    <t>Act(-1)</t>
  </si>
  <si>
    <t>Act_WithUnposted</t>
  </si>
  <si>
    <t>All</t>
  </si>
  <si>
    <t>Waste Connections, Inc.</t>
  </si>
  <si>
    <t>Districts/Grouping:</t>
  </si>
  <si>
    <t>2120</t>
  </si>
  <si>
    <t>IS 210 - PL Review</t>
  </si>
  <si>
    <t/>
  </si>
  <si>
    <t>CURRENT YEAR ACTUALS</t>
  </si>
  <si>
    <t>Category</t>
  </si>
  <si>
    <t>[Fixed][Acct]='98501'</t>
  </si>
  <si>
    <t>Days - Weekdays</t>
  </si>
  <si>
    <t>IS Hauling</t>
  </si>
  <si>
    <t>Hauling Revenue - Roll Off Permanent</t>
  </si>
  <si>
    <t>[!DetailRow]</t>
  </si>
  <si>
    <t>Corporate Roll Off Disposal Charge</t>
  </si>
  <si>
    <t>Hauling Revenue - Roll Off Extras</t>
  </si>
  <si>
    <t>Hauling Revenue - Residential MSW</t>
  </si>
  <si>
    <t>Hauling Revenue - Residential MSW Extras</t>
  </si>
  <si>
    <t>Hauling Revenue - Commercial FEL</t>
  </si>
  <si>
    <t>Hauling Revenue - Commercial REL Extras</t>
  </si>
  <si>
    <t>Hauling Revenue</t>
  </si>
  <si>
    <t>IS Transfer</t>
  </si>
  <si>
    <t>Transfer and MRF</t>
  </si>
  <si>
    <t>IS MRF</t>
  </si>
  <si>
    <t>Proceeds - OCC</t>
  </si>
  <si>
    <t>Recycling Proceeds</t>
  </si>
  <si>
    <t>IS Landfill</t>
  </si>
  <si>
    <t>Landfill Revenue</t>
  </si>
  <si>
    <t>IS Intermodal</t>
  </si>
  <si>
    <t>Intermodal</t>
  </si>
  <si>
    <t>IS Other Revenue</t>
  </si>
  <si>
    <t>Other Revenue</t>
  </si>
  <si>
    <t>IS Disposal</t>
  </si>
  <si>
    <t>Disposal Landfill</t>
  </si>
  <si>
    <t>Disposal Incineration</t>
  </si>
  <si>
    <t>Disposal</t>
  </si>
  <si>
    <t>IS MRF Processing</t>
  </si>
  <si>
    <t>MRF Processing</t>
  </si>
  <si>
    <t>IS BRT</t>
  </si>
  <si>
    <t>Rebates and Revenue Sharing</t>
  </si>
  <si>
    <t>Taxes and Pass Thru Fees</t>
  </si>
  <si>
    <t>WUTC Taxes</t>
  </si>
  <si>
    <t>Brok. and Taxes</t>
  </si>
  <si>
    <t>IS Recycling Mat</t>
  </si>
  <si>
    <t>Cost of Materials</t>
  </si>
  <si>
    <t>IS Other Expense</t>
  </si>
  <si>
    <t>Other Expense</t>
  </si>
  <si>
    <t>Rev Reductions</t>
  </si>
  <si>
    <t>Net Revenue</t>
  </si>
  <si>
    <t>IS Labor</t>
  </si>
  <si>
    <t>Wages Regular</t>
  </si>
  <si>
    <t>Wages O.T.</t>
  </si>
  <si>
    <t>Safety Bonuses</t>
  </si>
  <si>
    <t>Payroll Taxes</t>
  </si>
  <si>
    <t>Group Insurance</t>
  </si>
  <si>
    <t>Vacation Pay</t>
  </si>
  <si>
    <t>Sick Pay</t>
  </si>
  <si>
    <t>Safety and Training</t>
  </si>
  <si>
    <t>Uniforms</t>
  </si>
  <si>
    <t>Pension and Profit Sharing</t>
  </si>
  <si>
    <t>Labor</t>
  </si>
  <si>
    <t>IS Fixed Equipment</t>
  </si>
  <si>
    <t>Licenses</t>
  </si>
  <si>
    <t>Truck Fixed</t>
  </si>
  <si>
    <t>IS Truck Variable</t>
  </si>
  <si>
    <t>Salaries</t>
  </si>
  <si>
    <t>Drug Screening</t>
  </si>
  <si>
    <t>Parts and Materials</t>
  </si>
  <si>
    <t>Operating Supplies</t>
  </si>
  <si>
    <t>Tires</t>
  </si>
  <si>
    <t>Fuel Expense</t>
  </si>
  <si>
    <t>Oil and Grease</t>
  </si>
  <si>
    <t>Outside Repairs</t>
  </si>
  <si>
    <t>Utilities</t>
  </si>
  <si>
    <t>Communications</t>
  </si>
  <si>
    <t>Towing Expense</t>
  </si>
  <si>
    <t>Truck Variable</t>
  </si>
  <si>
    <t>IS Container</t>
  </si>
  <si>
    <t>Allocated Exp In - District</t>
  </si>
  <si>
    <t>Container Exp</t>
  </si>
  <si>
    <t>IS Supervisor</t>
  </si>
  <si>
    <t>Superv. Ex</t>
  </si>
  <si>
    <t>IS OtherOpExp</t>
  </si>
  <si>
    <t>Bldg &amp; Property</t>
  </si>
  <si>
    <t>Real Estate Rentals</t>
  </si>
  <si>
    <t>Other Prof Fees</t>
  </si>
  <si>
    <t>Property Taxes</t>
  </si>
  <si>
    <t>Other Taxes</t>
  </si>
  <si>
    <t>Permits</t>
  </si>
  <si>
    <t>Bonds Expense</t>
  </si>
  <si>
    <t>Other Operating</t>
  </si>
  <si>
    <t>Closure Exp</t>
  </si>
  <si>
    <t>IS Insurance</t>
  </si>
  <si>
    <t>Self Insurance Premium</t>
  </si>
  <si>
    <t>WC - Current Year Claims</t>
  </si>
  <si>
    <t>WC - Prior Year Claims</t>
  </si>
  <si>
    <t>Workers Comp Prem</t>
  </si>
  <si>
    <t>Insurance Exp</t>
  </si>
  <si>
    <t>IS OpDisposal</t>
  </si>
  <si>
    <t>G/L on Ops</t>
  </si>
  <si>
    <t>Cost of Ops</t>
  </si>
  <si>
    <t>Gross Profit</t>
  </si>
  <si>
    <t>IS Sales</t>
  </si>
  <si>
    <t>Advertising and Promotions</t>
  </si>
  <si>
    <t>Sales Exp</t>
  </si>
  <si>
    <t>IS G&amp;A</t>
  </si>
  <si>
    <t>Other Bonus/Commission - Non-Safety</t>
  </si>
  <si>
    <t>Empl &amp; Commun Activ</t>
  </si>
  <si>
    <t>Cellular Telephone</t>
  </si>
  <si>
    <t>Equip/Vehicle Rental</t>
  </si>
  <si>
    <t>Postage</t>
  </si>
  <si>
    <t>Dues and Subscriptions</t>
  </si>
  <si>
    <t>Travel</t>
  </si>
  <si>
    <t>Entertainment</t>
  </si>
  <si>
    <t>Lodging</t>
  </si>
  <si>
    <t>Travel - Auto</t>
  </si>
  <si>
    <t>Meals</t>
  </si>
  <si>
    <t>Office Supplies and Equip</t>
  </si>
  <si>
    <t>Credit Card Fees</t>
  </si>
  <si>
    <t>Payroll Processing Fees</t>
  </si>
  <si>
    <t>Data Processing</t>
  </si>
  <si>
    <t>Bad Debt Provision</t>
  </si>
  <si>
    <t>Credit and Collection</t>
  </si>
  <si>
    <t>Miscellaneous</t>
  </si>
  <si>
    <t>G&amp;A</t>
  </si>
  <si>
    <t>IS Overhead</t>
  </si>
  <si>
    <t>Corporate Overhead Allocation In</t>
  </si>
  <si>
    <t>Corp Overhead</t>
  </si>
  <si>
    <t>Total SG&amp;A</t>
  </si>
  <si>
    <t>EBITDA</t>
  </si>
  <si>
    <t>Watch list EBITDA</t>
  </si>
  <si>
    <t>IS Depreciation</t>
  </si>
  <si>
    <t>Depreciation</t>
  </si>
  <si>
    <t>IS Depletion</t>
  </si>
  <si>
    <t>Airspace Amort</t>
  </si>
  <si>
    <t>IS Amort</t>
  </si>
  <si>
    <t>Long Term Contract Amort</t>
  </si>
  <si>
    <t>Intangible Amort</t>
  </si>
  <si>
    <t>Total DDA</t>
  </si>
  <si>
    <t>EBIT From Ops</t>
  </si>
  <si>
    <t>IS Interest</t>
  </si>
  <si>
    <t>Interest Exp</t>
  </si>
  <si>
    <t>IS Interest Income</t>
  </si>
  <si>
    <t>Interest Income</t>
  </si>
  <si>
    <t>IS OtherIncExp</t>
  </si>
  <si>
    <t>Other Inc/Exp</t>
  </si>
  <si>
    <t>NI b/ Taxes &amp; Extra</t>
  </si>
  <si>
    <t>IS Extraordinary</t>
  </si>
  <si>
    <t>Extra. Items</t>
  </si>
  <si>
    <t>NI b/ Taxes</t>
  </si>
  <si>
    <t>IS Taxes</t>
  </si>
  <si>
    <t>Taxes</t>
  </si>
  <si>
    <t>Net Income</t>
  </si>
  <si>
    <t>IS NoncontrollingExp</t>
  </si>
  <si>
    <t>Non Controlling Int</t>
  </si>
  <si>
    <t>Net Income Attrib</t>
  </si>
  <si>
    <t>[Leftovers]</t>
  </si>
  <si>
    <t>Data Not Included</t>
  </si>
  <si>
    <t>Booked to RO</t>
  </si>
  <si>
    <t>Booked to Comm</t>
  </si>
  <si>
    <t>Booked to Resi</t>
  </si>
  <si>
    <t>Grand Total</t>
  </si>
  <si>
    <t>MEDICAL WASTE</t>
  </si>
  <si>
    <t>TOTAL MEDICAL WASTE</t>
  </si>
  <si>
    <t>Med Waste</t>
  </si>
  <si>
    <t>Reg Total</t>
  </si>
  <si>
    <t>Non Reg Total</t>
  </si>
  <si>
    <t>Avg</t>
  </si>
  <si>
    <t xml:space="preserve">TOTAL DROP BOX </t>
  </si>
  <si>
    <t>Regulated</t>
  </si>
  <si>
    <t>Non Reg</t>
  </si>
  <si>
    <t>Whit Co</t>
  </si>
  <si>
    <t>Spok Co</t>
  </si>
  <si>
    <t>Resi</t>
  </si>
  <si>
    <t>Comm</t>
  </si>
  <si>
    <t>RO</t>
  </si>
  <si>
    <t>Resi Rec</t>
  </si>
  <si>
    <t>Army</t>
  </si>
  <si>
    <t>Latah Co</t>
  </si>
  <si>
    <t>ADJ-RES</t>
  </si>
  <si>
    <t>ADJUSTMENT RESIDENTIAL</t>
  </si>
  <si>
    <t>Empire Disposal</t>
  </si>
  <si>
    <t>Customer Count</t>
  </si>
  <si>
    <t>Carts</t>
  </si>
  <si>
    <t>Containers</t>
  </si>
  <si>
    <t>Unit Counts</t>
  </si>
  <si>
    <t>Whitman Reg</t>
  </si>
  <si>
    <t>Spokane Reg</t>
  </si>
  <si>
    <t>Garbage Carts</t>
  </si>
  <si>
    <t>Recycling Carts</t>
  </si>
  <si>
    <t>Non-Reg (Cities)</t>
  </si>
  <si>
    <t>Cust Count</t>
  </si>
  <si>
    <t>Average</t>
  </si>
  <si>
    <t>Unit</t>
  </si>
  <si>
    <t>Count</t>
  </si>
  <si>
    <t xml:space="preserve">Unit </t>
  </si>
  <si>
    <t>Cust</t>
  </si>
  <si>
    <t>Annual</t>
  </si>
  <si>
    <t>Spokane Co. Regulated - Price Out</t>
  </si>
  <si>
    <t>Note:  Revenue below is from the datailed billing system records, and connot be linked.</t>
  </si>
  <si>
    <t>Whitman Co. Regulated - Price Out</t>
  </si>
  <si>
    <t xml:space="preserve">Avg </t>
  </si>
  <si>
    <t>July 1, 2015 - June 30, 2016</t>
  </si>
  <si>
    <t>July 15-Dec 15</t>
  </si>
  <si>
    <t>Jan 16-June 16</t>
  </si>
  <si>
    <t>July 15-June 16</t>
  </si>
  <si>
    <t>Cost of Materials - OCC</t>
  </si>
  <si>
    <t>Cost of Materials - Other Recyclables</t>
  </si>
  <si>
    <t xml:space="preserve">DRIVEIN1-COMM </t>
  </si>
  <si>
    <t>DRIVE IN 125-250' - COMM</t>
  </si>
  <si>
    <t>RL006.0Y5W001</t>
  </si>
  <si>
    <t>RL 6 YD 5X WEEK</t>
  </si>
  <si>
    <t>DRIVEIN1-RES</t>
  </si>
  <si>
    <t xml:space="preserve">DRIVE IN 125-250' - RES </t>
  </si>
  <si>
    <t>WI1-RES</t>
  </si>
  <si>
    <t>WALK IN 5-25 FT - RES</t>
  </si>
  <si>
    <t>RL001.0Y1M001</t>
  </si>
  <si>
    <t>RL 1 YD 1X MO 1</t>
  </si>
  <si>
    <t>ADJ-FIN</t>
  </si>
  <si>
    <t>ADJUSTMENT FINANCE CHARGE</t>
  </si>
  <si>
    <t>RL032.0G1W003COMM</t>
  </si>
  <si>
    <t>RL 32 GL 1X WK COMM 3</t>
  </si>
  <si>
    <t>Check</t>
  </si>
  <si>
    <t>Pivot Reveue</t>
  </si>
  <si>
    <t>Pivot Revenue</t>
  </si>
  <si>
    <t>RL6C-OC</t>
  </si>
  <si>
    <t>1 RL 6 YD ON CALL - COMM</t>
  </si>
  <si>
    <t>DAMAGE-COMM</t>
  </si>
  <si>
    <t>DAMAGE - COMM</t>
  </si>
  <si>
    <t xml:space="preserve">Total </t>
  </si>
  <si>
    <t>ActYTD_WithUnposted</t>
  </si>
  <si>
    <t>2015-09</t>
  </si>
  <si>
    <t>(drill)</t>
  </si>
  <si>
    <t>YTD_w/Unposted</t>
  </si>
  <si>
    <t>Hauling Revenue - Commercial FEL Extras</t>
  </si>
  <si>
    <t>Proceeds - Metal</t>
  </si>
  <si>
    <t>Proceeds - Commingled</t>
  </si>
  <si>
    <t>IS E&amp;P Revenue</t>
  </si>
  <si>
    <t>E&amp;P Revenue</t>
  </si>
  <si>
    <t>P-Card Rebate Revenue</t>
  </si>
  <si>
    <t>Disposal Transfer Station</t>
  </si>
  <si>
    <t>Freight</t>
  </si>
  <si>
    <t>Costs Awaiting Capitalization</t>
  </si>
  <si>
    <t>Meal and Entertainment</t>
  </si>
  <si>
    <t>Drive Cam &amp; Routing SW Fees</t>
  </si>
  <si>
    <t>Penalties and Violations</t>
  </si>
  <si>
    <t>Monitoring and Maint</t>
  </si>
  <si>
    <t>Gain/Loss on Sale of Asset</t>
  </si>
  <si>
    <t>Employee Relocation</t>
  </si>
  <si>
    <t>Contributions</t>
  </si>
  <si>
    <t>Bldg &amp; Property Maint</t>
  </si>
  <si>
    <t>Excursions Meetings</t>
  </si>
  <si>
    <t>Bank Charges</t>
  </si>
  <si>
    <t>Recruitment Advertising &amp; Expenses</t>
  </si>
  <si>
    <t>Computer Software</t>
  </si>
  <si>
    <t>Computer Supplies</t>
  </si>
  <si>
    <t>Coffee Bar</t>
  </si>
  <si>
    <t>2015-12</t>
  </si>
  <si>
    <t>Office Supply and Equip</t>
  </si>
  <si>
    <t>2016-03</t>
  </si>
  <si>
    <t>Brokerage Cost</t>
  </si>
  <si>
    <t>Equip Maintenance and Repair</t>
  </si>
  <si>
    <t>2016-06</t>
  </si>
  <si>
    <t>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</si>
</sst>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%;\(0%\);&quot;&quot;"/>
    <numFmt numFmtId="167" formatCode="0_);\(0\)"/>
    <numFmt numFmtId="168" formatCode="_(* #,##0,_);_(* \(#,##0,\);_(* &quot;-&quot;??_);_(@_)"/>
    <numFmt numFmtId="169" formatCode="[$-1010409]#,##0.00;\-#,##0.00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indexed="5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3366FF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0"/>
      <name val="Times New Roman"/>
      <family val="1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i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Arial"/>
      <family val="2"/>
    </font>
    <font>
      <sz val="12"/>
      <color indexed="16"/>
      <name val="Arial"/>
      <family val="2"/>
    </font>
    <font>
      <b/>
      <sz val="12"/>
      <color indexed="12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1"/>
      <name val="Calibri"/>
      <family val="2"/>
    </font>
    <font>
      <sz val="11"/>
      <color indexed="61"/>
      <name val="Calibri"/>
      <family val="2"/>
    </font>
    <font>
      <sz val="12"/>
      <name val="Arial MT"/>
    </font>
    <font>
      <b/>
      <u/>
      <sz val="11"/>
      <name val="Arial"/>
      <family val="2"/>
    </font>
    <font>
      <b/>
      <sz val="18"/>
      <color indexed="61"/>
      <name val="Cambria"/>
      <family val="2"/>
    </font>
    <font>
      <sz val="11"/>
      <color indexed="10"/>
      <name val="Calibri"/>
      <family val="2"/>
    </font>
    <font>
      <b/>
      <u/>
      <sz val="11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color rgb="FF3333FF"/>
      <name val="Arial"/>
      <family val="2"/>
    </font>
    <font>
      <b/>
      <sz val="12"/>
      <color rgb="FFFF000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i/>
      <sz val="9"/>
      <color theme="0"/>
      <name val="Arial"/>
      <family val="2"/>
    </font>
    <font>
      <sz val="9"/>
      <color theme="0"/>
      <name val="Arial"/>
      <family val="2"/>
    </font>
    <font>
      <sz val="10"/>
      <color indexed="8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48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</borders>
  <cellStyleXfs count="267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44" fontId="14" fillId="0" borderId="0" applyFon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41" fontId="9" fillId="0" borderId="0"/>
    <xf numFmtId="0" fontId="18" fillId="13" borderId="0" applyNumberFormat="0" applyBorder="0" applyAlignment="0" applyProtection="0"/>
    <xf numFmtId="3" fontId="9" fillId="0" borderId="0"/>
    <xf numFmtId="0" fontId="19" fillId="14" borderId="2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" fontId="20" fillId="0" borderId="0"/>
    <xf numFmtId="0" fontId="21" fillId="0" borderId="0"/>
    <xf numFmtId="0" fontId="21" fillId="0" borderId="0"/>
    <xf numFmtId="0" fontId="22" fillId="15" borderId="3" applyAlignment="0">
      <alignment horizontal="right"/>
      <protection locked="0"/>
    </xf>
    <xf numFmtId="44" fontId="2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4" fillId="16" borderId="0">
      <alignment horizontal="right"/>
      <protection locked="0"/>
    </xf>
    <xf numFmtId="2" fontId="24" fillId="16" borderId="0">
      <alignment horizontal="right"/>
      <protection locked="0"/>
    </xf>
    <xf numFmtId="0" fontId="25" fillId="17" borderId="0" applyNumberFormat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3" fontId="31" fillId="18" borderId="0">
      <protection locked="0"/>
    </xf>
    <xf numFmtId="4" fontId="31" fillId="18" borderId="0">
      <protection locked="0"/>
    </xf>
    <xf numFmtId="0" fontId="32" fillId="0" borderId="7" applyNumberFormat="0" applyFill="0" applyAlignment="0" applyProtection="0"/>
    <xf numFmtId="0" fontId="33" fillId="7" borderId="0" applyNumberFormat="0" applyBorder="0" applyAlignment="0" applyProtection="0"/>
    <xf numFmtId="43" fontId="9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19" borderId="8" applyNumberFormat="0" applyFont="0" applyAlignment="0" applyProtection="0"/>
    <xf numFmtId="165" fontId="35" fillId="0" borderId="0" applyNumberFormat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165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0" fontId="9" fillId="0" borderId="0"/>
    <xf numFmtId="0" fontId="36" fillId="0" borderId="0" applyNumberFormat="0" applyFont="0" applyFill="0" applyBorder="0" applyAlignment="0" applyProtection="0">
      <alignment horizontal="left"/>
    </xf>
    <xf numFmtId="0" fontId="37" fillId="0" borderId="9">
      <alignment horizontal="center"/>
    </xf>
    <xf numFmtId="0" fontId="20" fillId="0" borderId="0">
      <alignment vertical="top"/>
    </xf>
    <xf numFmtId="0" fontId="20" fillId="0" borderId="0" applyNumberFormat="0" applyBorder="0" applyAlignment="0"/>
    <xf numFmtId="0" fontId="38" fillId="0" borderId="10" applyNumberFormat="0" applyFill="0" applyAlignment="0" applyProtection="0"/>
    <xf numFmtId="9" fontId="1" fillId="0" borderId="0" applyFont="0" applyFill="0" applyBorder="0" applyAlignment="0" applyProtection="0"/>
    <xf numFmtId="37" fontId="40" fillId="20" borderId="0" applyFill="0"/>
    <xf numFmtId="0" fontId="9" fillId="0" borderId="0"/>
    <xf numFmtId="0" fontId="1" fillId="0" borderId="0"/>
    <xf numFmtId="0" fontId="14" fillId="26" borderId="0" applyNumberFormat="0" applyBorder="0" applyAlignment="0" applyProtection="0"/>
    <xf numFmtId="0" fontId="14" fillId="9" borderId="0" applyNumberFormat="0" applyBorder="0" applyAlignment="0" applyProtection="0"/>
    <xf numFmtId="0" fontId="14" fillId="19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19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7" borderId="0" applyNumberFormat="0" applyBorder="0" applyAlignment="0" applyProtection="0"/>
    <xf numFmtId="0" fontId="14" fillId="27" borderId="0" applyNumberFormat="0" applyBorder="0" applyAlignment="0" applyProtection="0"/>
    <xf numFmtId="0" fontId="14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33" borderId="0" applyNumberFormat="0" applyBorder="0" applyAlignment="0" applyProtection="0"/>
    <xf numFmtId="0" fontId="17" fillId="12" borderId="0" applyNumberFormat="0" applyBorder="0" applyAlignment="0" applyProtection="0"/>
    <xf numFmtId="0" fontId="17" fillId="34" borderId="0" applyNumberFormat="0" applyBorder="0" applyAlignment="0" applyProtection="0"/>
    <xf numFmtId="41" fontId="9" fillId="0" borderId="0"/>
    <xf numFmtId="41" fontId="9" fillId="0" borderId="0"/>
    <xf numFmtId="41" fontId="9" fillId="0" borderId="0"/>
    <xf numFmtId="3" fontId="9" fillId="0" borderId="0"/>
    <xf numFmtId="3" fontId="9" fillId="0" borderId="0"/>
    <xf numFmtId="3" fontId="9" fillId="0" borderId="0"/>
    <xf numFmtId="0" fontId="19" fillId="5" borderId="2" applyNumberFormat="0" applyAlignment="0" applyProtection="0"/>
    <xf numFmtId="0" fontId="48" fillId="35" borderId="13" applyNumberFormat="0" applyAlignment="0" applyProtection="0"/>
    <xf numFmtId="0" fontId="9" fillId="36" borderId="0">
      <alignment horizontal="center"/>
    </xf>
    <xf numFmtId="43" fontId="1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14" fillId="0" borderId="0" applyFont="0" applyFill="0" applyBorder="0" applyAlignment="0" applyProtection="0"/>
    <xf numFmtId="14" fontId="9" fillId="0" borderId="0"/>
    <xf numFmtId="0" fontId="50" fillId="0" borderId="0" applyNumberFormat="0" applyFill="0" applyBorder="0" applyAlignment="0" applyProtection="0"/>
    <xf numFmtId="1" fontId="9" fillId="0" borderId="0">
      <alignment horizontal="center"/>
    </xf>
    <xf numFmtId="0" fontId="51" fillId="0" borderId="14" applyNumberFormat="0" applyFill="0" applyAlignment="0" applyProtection="0"/>
    <xf numFmtId="0" fontId="52" fillId="0" borderId="5" applyNumberFormat="0" applyFill="0" applyAlignment="0" applyProtection="0"/>
    <xf numFmtId="0" fontId="53" fillId="0" borderId="15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2" applyNumberFormat="0" applyAlignment="0" applyProtection="0"/>
    <xf numFmtId="0" fontId="14" fillId="0" borderId="0"/>
    <xf numFmtId="0" fontId="1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14" fillId="0" borderId="0"/>
    <xf numFmtId="0" fontId="49" fillId="19" borderId="8" applyNumberFormat="0" applyFont="0" applyAlignment="0" applyProtection="0"/>
    <xf numFmtId="0" fontId="28" fillId="14" borderId="16" applyNumberFormat="0" applyAlignment="0" applyProtection="0"/>
    <xf numFmtId="9" fontId="4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0" fillId="0" borderId="0">
      <alignment vertical="top"/>
    </xf>
    <xf numFmtId="37" fontId="57" fillId="0" borderId="0"/>
    <xf numFmtId="0" fontId="58" fillId="0" borderId="0" applyNumberFormat="0" applyFill="0" applyBorder="0" applyAlignment="0" applyProtection="0"/>
    <xf numFmtId="0" fontId="38" fillId="0" borderId="17" applyNumberFormat="0" applyFill="0" applyAlignment="0" applyProtection="0"/>
    <xf numFmtId="0" fontId="5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</cellStyleXfs>
  <cellXfs count="198">
    <xf numFmtId="0" fontId="0" fillId="0" borderId="0" xfId="0"/>
    <xf numFmtId="0" fontId="2" fillId="0" borderId="0" xfId="0" applyFont="1" applyFill="1"/>
    <xf numFmtId="0" fontId="4" fillId="0" borderId="0" xfId="3" applyFont="1" applyFill="1"/>
    <xf numFmtId="0" fontId="4" fillId="0" borderId="0" xfId="3" applyFont="1" applyFill="1" applyAlignment="1">
      <alignment horizontal="center"/>
    </xf>
    <xf numFmtId="0" fontId="4" fillId="0" borderId="0" xfId="3" applyFont="1"/>
    <xf numFmtId="0" fontId="5" fillId="0" borderId="0" xfId="0" applyFont="1"/>
    <xf numFmtId="0" fontId="6" fillId="0" borderId="0" xfId="3" applyFont="1" applyFill="1"/>
    <xf numFmtId="2" fontId="4" fillId="0" borderId="0" xfId="3" applyNumberFormat="1" applyFont="1"/>
    <xf numFmtId="0" fontId="6" fillId="0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/>
    </xf>
    <xf numFmtId="17" fontId="6" fillId="3" borderId="0" xfId="3" applyNumberFormat="1" applyFont="1" applyFill="1" applyAlignment="1">
      <alignment horizontal="center"/>
    </xf>
    <xf numFmtId="0" fontId="6" fillId="3" borderId="0" xfId="3" applyFont="1" applyFill="1" applyAlignment="1">
      <alignment horizontal="center" wrapText="1"/>
    </xf>
    <xf numFmtId="17" fontId="6" fillId="4" borderId="0" xfId="3" applyNumberFormat="1" applyFont="1" applyFill="1" applyAlignment="1">
      <alignment horizontal="center"/>
    </xf>
    <xf numFmtId="0" fontId="6" fillId="0" borderId="0" xfId="3" applyFont="1" applyFill="1" applyAlignment="1">
      <alignment horizontal="center"/>
    </xf>
    <xf numFmtId="14" fontId="6" fillId="2" borderId="0" xfId="3" applyNumberFormat="1" applyFont="1" applyFill="1" applyAlignment="1">
      <alignment horizontal="center" wrapText="1"/>
    </xf>
    <xf numFmtId="0" fontId="6" fillId="4" borderId="0" xfId="3" applyFont="1" applyFill="1" applyAlignment="1">
      <alignment horizontal="center" wrapText="1"/>
    </xf>
    <xf numFmtId="0" fontId="5" fillId="0" borderId="0" xfId="0" applyFont="1" applyFill="1"/>
    <xf numFmtId="0" fontId="7" fillId="0" borderId="0" xfId="3" applyFont="1" applyFill="1" applyAlignment="1">
      <alignment horizontal="center"/>
    </xf>
    <xf numFmtId="0" fontId="8" fillId="0" borderId="0" xfId="3" applyFont="1" applyAlignment="1">
      <alignment horizontal="left"/>
    </xf>
    <xf numFmtId="0" fontId="6" fillId="0" borderId="0" xfId="3" applyFont="1" applyAlignment="1">
      <alignment horizontal="left"/>
    </xf>
    <xf numFmtId="43" fontId="4" fillId="0" borderId="0" xfId="1" applyFont="1" applyFill="1" applyAlignment="1">
      <alignment horizontal="center"/>
    </xf>
    <xf numFmtId="164" fontId="4" fillId="0" borderId="0" xfId="1" applyNumberFormat="1" applyFont="1" applyFill="1"/>
    <xf numFmtId="164" fontId="4" fillId="0" borderId="0" xfId="1" applyNumberFormat="1" applyFont="1"/>
    <xf numFmtId="43" fontId="4" fillId="0" borderId="0" xfId="3" applyNumberFormat="1" applyFont="1"/>
    <xf numFmtId="0" fontId="10" fillId="0" borderId="0" xfId="0" applyFont="1"/>
    <xf numFmtId="0" fontId="4" fillId="0" borderId="0" xfId="3" applyFont="1" applyFill="1" applyBorder="1"/>
    <xf numFmtId="0" fontId="6" fillId="0" borderId="0" xfId="3" applyFont="1" applyBorder="1" applyAlignment="1">
      <alignment horizontal="right"/>
    </xf>
    <xf numFmtId="44" fontId="11" fillId="0" borderId="1" xfId="2" applyFont="1" applyFill="1" applyBorder="1"/>
    <xf numFmtId="0" fontId="8" fillId="0" borderId="0" xfId="3" applyFont="1" applyAlignment="1">
      <alignment horizontal="center"/>
    </xf>
    <xf numFmtId="43" fontId="4" fillId="0" borderId="0" xfId="1" applyFont="1" applyFill="1"/>
    <xf numFmtId="43" fontId="4" fillId="0" borderId="0" xfId="1" applyFont="1"/>
    <xf numFmtId="0" fontId="12" fillId="0" borderId="0" xfId="0" applyFont="1" applyFill="1" applyBorder="1"/>
    <xf numFmtId="0" fontId="4" fillId="0" borderId="0" xfId="3" applyFont="1" applyBorder="1"/>
    <xf numFmtId="0" fontId="8" fillId="0" borderId="0" xfId="3" applyFont="1" applyFill="1" applyAlignment="1">
      <alignment horizontal="left"/>
    </xf>
    <xf numFmtId="43" fontId="13" fillId="0" borderId="0" xfId="1" applyFont="1" applyFill="1" applyAlignment="1">
      <alignment horizontal="center"/>
    </xf>
    <xf numFmtId="0" fontId="13" fillId="0" borderId="0" xfId="3" applyFont="1"/>
    <xf numFmtId="0" fontId="4" fillId="0" borderId="0" xfId="0" applyFont="1" applyFill="1" applyAlignment="1">
      <alignment vertical="top"/>
    </xf>
    <xf numFmtId="0" fontId="6" fillId="0" borderId="0" xfId="3" applyFont="1" applyFill="1" applyAlignment="1">
      <alignment horizontal="right"/>
    </xf>
    <xf numFmtId="0" fontId="6" fillId="0" borderId="0" xfId="3" applyFont="1" applyFill="1" applyAlignment="1">
      <alignment horizontal="left"/>
    </xf>
    <xf numFmtId="43" fontId="5" fillId="0" borderId="0" xfId="1" applyFont="1"/>
    <xf numFmtId="0" fontId="6" fillId="0" borderId="0" xfId="3" applyFont="1" applyFill="1" applyBorder="1" applyAlignment="1">
      <alignment horizontal="right"/>
    </xf>
    <xf numFmtId="0" fontId="8" fillId="0" borderId="0" xfId="3" applyFont="1" applyFill="1" applyAlignment="1">
      <alignment horizontal="center"/>
    </xf>
    <xf numFmtId="0" fontId="6" fillId="0" borderId="0" xfId="3" applyFont="1" applyFill="1" applyBorder="1"/>
    <xf numFmtId="44" fontId="11" fillId="0" borderId="0" xfId="2" applyFont="1" applyFill="1" applyBorder="1"/>
    <xf numFmtId="0" fontId="6" fillId="0" borderId="0" xfId="3" applyFont="1" applyBorder="1" applyAlignment="1">
      <alignment horizontal="left"/>
    </xf>
    <xf numFmtId="0" fontId="4" fillId="0" borderId="0" xfId="3" applyFont="1" applyAlignment="1">
      <alignment horizontal="center"/>
    </xf>
    <xf numFmtId="0" fontId="5" fillId="0" borderId="0" xfId="0" applyFont="1" applyFill="1" applyBorder="1"/>
    <xf numFmtId="0" fontId="39" fillId="0" borderId="0" xfId="0" applyFont="1"/>
    <xf numFmtId="0" fontId="39" fillId="0" borderId="3" xfId="0" applyFont="1" applyBorder="1" applyAlignment="1">
      <alignment horizontal="center" wrapText="1"/>
    </xf>
    <xf numFmtId="0" fontId="39" fillId="0" borderId="3" xfId="0" applyFont="1" applyFill="1" applyBorder="1" applyAlignment="1">
      <alignment horizontal="center" wrapText="1"/>
    </xf>
    <xf numFmtId="0" fontId="39" fillId="0" borderId="3" xfId="0" applyFont="1" applyBorder="1" applyAlignment="1">
      <alignment horizontal="center"/>
    </xf>
    <xf numFmtId="0" fontId="0" fillId="0" borderId="0" xfId="0" applyAlignment="1">
      <alignment horizontal="right"/>
    </xf>
    <xf numFmtId="164" fontId="0" fillId="0" borderId="0" xfId="1" applyNumberFormat="1" applyFont="1"/>
    <xf numFmtId="164" fontId="0" fillId="0" borderId="0" xfId="1" applyNumberFormat="1" applyFont="1" applyFill="1"/>
    <xf numFmtId="164" fontId="0" fillId="0" borderId="0" xfId="1" applyNumberFormat="1" applyFont="1" applyBorder="1"/>
    <xf numFmtId="164" fontId="0" fillId="0" borderId="3" xfId="1" applyNumberFormat="1" applyFont="1" applyBorder="1"/>
    <xf numFmtId="43" fontId="0" fillId="0" borderId="0" xfId="0" applyNumberFormat="1"/>
    <xf numFmtId="1" fontId="4" fillId="0" borderId="0" xfId="3" applyNumberFormat="1" applyFont="1"/>
    <xf numFmtId="43" fontId="4" fillId="0" borderId="0" xfId="1" applyNumberFormat="1" applyFont="1"/>
    <xf numFmtId="0" fontId="5" fillId="0" borderId="0" xfId="0" applyFont="1" applyBorder="1"/>
    <xf numFmtId="0" fontId="0" fillId="0" borderId="0" xfId="0" applyBorder="1"/>
    <xf numFmtId="37" fontId="9" fillId="0" borderId="0" xfId="119" applyFont="1" applyFill="1"/>
    <xf numFmtId="49" fontId="9" fillId="0" borderId="0" xfId="119" applyNumberFormat="1" applyFont="1" applyFill="1"/>
    <xf numFmtId="14" fontId="9" fillId="0" borderId="0" xfId="119" applyNumberFormat="1" applyFont="1" applyFill="1"/>
    <xf numFmtId="164" fontId="9" fillId="0" borderId="0" xfId="31" applyNumberFormat="1" applyFont="1" applyFill="1"/>
    <xf numFmtId="0" fontId="20" fillId="0" borderId="0" xfId="120" applyFont="1"/>
    <xf numFmtId="0" fontId="9" fillId="0" borderId="0" xfId="87"/>
    <xf numFmtId="37" fontId="9" fillId="0" borderId="0" xfId="119" quotePrefix="1" applyFont="1" applyFill="1"/>
    <xf numFmtId="14" fontId="41" fillId="0" borderId="0" xfId="120" applyNumberFormat="1" applyFont="1"/>
    <xf numFmtId="0" fontId="42" fillId="0" borderId="0" xfId="120" applyNumberFormat="1" applyFont="1"/>
    <xf numFmtId="0" fontId="41" fillId="0" borderId="0" xfId="120" applyNumberFormat="1" applyFont="1"/>
    <xf numFmtId="0" fontId="42" fillId="0" borderId="0" xfId="120" applyNumberFormat="1" applyFont="1" applyAlignment="1">
      <alignment horizontal="right"/>
    </xf>
    <xf numFmtId="0" fontId="44" fillId="0" borderId="0" xfId="120" applyNumberFormat="1" applyFont="1"/>
    <xf numFmtId="49" fontId="43" fillId="0" borderId="0" xfId="120" applyNumberFormat="1" applyFont="1" applyAlignment="1">
      <alignment horizontal="left"/>
    </xf>
    <xf numFmtId="49" fontId="45" fillId="0" borderId="0" xfId="120" applyNumberFormat="1" applyFont="1"/>
    <xf numFmtId="0" fontId="20" fillId="0" borderId="0" xfId="120" applyNumberFormat="1" applyFont="1"/>
    <xf numFmtId="167" fontId="46" fillId="0" borderId="0" xfId="34" applyNumberFormat="1" applyFont="1" applyAlignment="1">
      <alignment horizontal="center"/>
    </xf>
    <xf numFmtId="164" fontId="9" fillId="0" borderId="0" xfId="34" applyNumberFormat="1" applyFont="1" applyFill="1"/>
    <xf numFmtId="164" fontId="0" fillId="0" borderId="0" xfId="0" applyNumberFormat="1"/>
    <xf numFmtId="10" fontId="0" fillId="0" borderId="0" xfId="118" applyNumberFormat="1" applyFont="1"/>
    <xf numFmtId="44" fontId="5" fillId="0" borderId="0" xfId="0" applyNumberFormat="1" applyFont="1"/>
    <xf numFmtId="164" fontId="0" fillId="0" borderId="0" xfId="0" applyNumberFormat="1" applyFill="1"/>
    <xf numFmtId="164" fontId="5" fillId="0" borderId="0" xfId="0" applyNumberFormat="1" applyFont="1"/>
    <xf numFmtId="164" fontId="6" fillId="0" borderId="12" xfId="3" applyNumberFormat="1" applyFont="1" applyBorder="1"/>
    <xf numFmtId="164" fontId="2" fillId="0" borderId="12" xfId="0" applyNumberFormat="1" applyFont="1" applyBorder="1"/>
    <xf numFmtId="164" fontId="6" fillId="0" borderId="12" xfId="3" applyNumberFormat="1" applyFont="1" applyFill="1" applyBorder="1"/>
    <xf numFmtId="0" fontId="0" fillId="0" borderId="0" xfId="0" applyFill="1"/>
    <xf numFmtId="2" fontId="5" fillId="0" borderId="0" xfId="0" applyNumberFormat="1" applyFont="1"/>
    <xf numFmtId="0" fontId="0" fillId="0" borderId="0" xfId="0" applyAlignment="1">
      <alignment horizontal="center"/>
    </xf>
    <xf numFmtId="164" fontId="4" fillId="0" borderId="0" xfId="3" applyNumberFormat="1" applyFont="1"/>
    <xf numFmtId="0" fontId="39" fillId="0" borderId="0" xfId="0" applyFont="1" applyAlignment="1">
      <alignment horizontal="right"/>
    </xf>
    <xf numFmtId="164" fontId="5" fillId="0" borderId="0" xfId="1" applyNumberFormat="1" applyFont="1"/>
    <xf numFmtId="164" fontId="6" fillId="4" borderId="0" xfId="1" applyNumberFormat="1" applyFont="1" applyFill="1" applyAlignment="1">
      <alignment horizontal="center"/>
    </xf>
    <xf numFmtId="164" fontId="6" fillId="4" borderId="0" xfId="1" applyNumberFormat="1" applyFont="1" applyFill="1" applyAlignment="1">
      <alignment horizontal="center" wrapText="1"/>
    </xf>
    <xf numFmtId="0" fontId="39" fillId="0" borderId="9" xfId="0" applyFont="1" applyBorder="1"/>
    <xf numFmtId="0" fontId="60" fillId="0" borderId="0" xfId="0" applyFont="1"/>
    <xf numFmtId="0" fontId="39" fillId="0" borderId="9" xfId="0" applyFont="1" applyFill="1" applyBorder="1"/>
    <xf numFmtId="164" fontId="39" fillId="0" borderId="0" xfId="0" applyNumberFormat="1" applyFont="1"/>
    <xf numFmtId="164" fontId="39" fillId="0" borderId="11" xfId="0" applyNumberFormat="1" applyFont="1" applyBorder="1"/>
    <xf numFmtId="43" fontId="0" fillId="0" borderId="0" xfId="1" applyFont="1"/>
    <xf numFmtId="0" fontId="61" fillId="0" borderId="0" xfId="3" applyFont="1"/>
    <xf numFmtId="43" fontId="5" fillId="0" borderId="0" xfId="0" applyNumberFormat="1" applyFont="1"/>
    <xf numFmtId="14" fontId="6" fillId="0" borderId="0" xfId="3" applyNumberFormat="1" applyFont="1" applyFill="1" applyAlignment="1">
      <alignment horizontal="center" wrapText="1"/>
    </xf>
    <xf numFmtId="17" fontId="6" fillId="2" borderId="0" xfId="3" applyNumberFormat="1" applyFont="1" applyFill="1" applyAlignment="1">
      <alignment horizontal="center"/>
    </xf>
    <xf numFmtId="0" fontId="6" fillId="2" borderId="0" xfId="3" applyFont="1" applyFill="1" applyAlignment="1">
      <alignment horizontal="center" wrapText="1"/>
    </xf>
    <xf numFmtId="37" fontId="47" fillId="0" borderId="0" xfId="119" applyFont="1" applyFill="1"/>
    <xf numFmtId="37" fontId="47" fillId="21" borderId="0" xfId="119" applyFont="1" applyFill="1"/>
    <xf numFmtId="0" fontId="22" fillId="0" borderId="0" xfId="120" applyFont="1" applyAlignment="1">
      <alignment horizontal="left"/>
    </xf>
    <xf numFmtId="0" fontId="22" fillId="0" borderId="0" xfId="120" quotePrefix="1" applyFont="1" applyAlignment="1">
      <alignment horizontal="left"/>
    </xf>
    <xf numFmtId="14" fontId="47" fillId="0" borderId="0" xfId="119" applyNumberFormat="1" applyFont="1" applyFill="1"/>
    <xf numFmtId="0" fontId="22" fillId="0" borderId="0" xfId="120" applyFont="1"/>
    <xf numFmtId="164" fontId="22" fillId="0" borderId="0" xfId="34" applyNumberFormat="1" applyFont="1"/>
    <xf numFmtId="164" fontId="47" fillId="21" borderId="0" xfId="34" applyNumberFormat="1" applyFont="1" applyFill="1" applyBorder="1"/>
    <xf numFmtId="166" fontId="49" fillId="0" borderId="0" xfId="108" applyNumberFormat="1" applyFont="1" applyFill="1" applyBorder="1"/>
    <xf numFmtId="164" fontId="47" fillId="0" borderId="0" xfId="34" applyNumberFormat="1" applyFont="1" applyBorder="1"/>
    <xf numFmtId="0" fontId="47" fillId="0" borderId="0" xfId="120" applyFont="1" applyBorder="1"/>
    <xf numFmtId="0" fontId="9" fillId="0" borderId="0" xfId="31" applyNumberFormat="1" applyFont="1" applyFill="1"/>
    <xf numFmtId="14" fontId="62" fillId="0" borderId="0" xfId="119" applyNumberFormat="1" applyFont="1" applyFill="1"/>
    <xf numFmtId="0" fontId="63" fillId="0" borderId="0" xfId="120" applyNumberFormat="1" applyFont="1"/>
    <xf numFmtId="0" fontId="20" fillId="0" borderId="0" xfId="120" applyNumberFormat="1" applyFont="1" applyAlignment="1">
      <alignment horizontal="center"/>
    </xf>
    <xf numFmtId="0" fontId="22" fillId="0" borderId="0" xfId="120" applyNumberFormat="1" applyFont="1"/>
    <xf numFmtId="164" fontId="64" fillId="21" borderId="3" xfId="34" applyNumberFormat="1" applyFont="1" applyFill="1" applyBorder="1" applyAlignment="1">
      <alignment horizontal="centerContinuous"/>
    </xf>
    <xf numFmtId="0" fontId="64" fillId="21" borderId="3" xfId="120" applyFont="1" applyFill="1" applyBorder="1" applyAlignment="1">
      <alignment horizontal="centerContinuous"/>
    </xf>
    <xf numFmtId="164" fontId="64" fillId="21" borderId="3" xfId="34" quotePrefix="1" applyNumberFormat="1" applyFont="1" applyFill="1" applyBorder="1" applyAlignment="1">
      <alignment horizontal="centerContinuous"/>
    </xf>
    <xf numFmtId="164" fontId="64" fillId="0" borderId="3" xfId="34" applyNumberFormat="1" applyFont="1" applyFill="1" applyBorder="1" applyAlignment="1">
      <alignment horizontal="centerContinuous"/>
    </xf>
    <xf numFmtId="0" fontId="65" fillId="0" borderId="3" xfId="120" applyNumberFormat="1" applyFont="1" applyBorder="1"/>
    <xf numFmtId="17" fontId="64" fillId="21" borderId="9" xfId="34" applyNumberFormat="1" applyFont="1" applyFill="1" applyBorder="1" applyAlignment="1">
      <alignment horizontal="centerContinuous"/>
    </xf>
    <xf numFmtId="0" fontId="64" fillId="0" borderId="0" xfId="120" applyFont="1" applyBorder="1"/>
    <xf numFmtId="0" fontId="64" fillId="0" borderId="0" xfId="120" applyFont="1"/>
    <xf numFmtId="17" fontId="64" fillId="0" borderId="9" xfId="34" applyNumberFormat="1" applyFont="1" applyBorder="1" applyAlignment="1">
      <alignment horizontal="left"/>
    </xf>
    <xf numFmtId="17" fontId="64" fillId="0" borderId="9" xfId="34" applyNumberFormat="1" applyFont="1" applyFill="1" applyBorder="1" applyAlignment="1">
      <alignment horizontal="centerContinuous"/>
    </xf>
    <xf numFmtId="0" fontId="66" fillId="0" borderId="0" xfId="121" applyFont="1"/>
    <xf numFmtId="0" fontId="67" fillId="0" borderId="0" xfId="120" applyNumberFormat="1" applyFont="1"/>
    <xf numFmtId="0" fontId="68" fillId="0" borderId="0" xfId="120" applyNumberFormat="1" applyFont="1"/>
    <xf numFmtId="167" fontId="22" fillId="0" borderId="0" xfId="34" applyNumberFormat="1" applyFont="1" applyAlignment="1">
      <alignment horizontal="center"/>
    </xf>
    <xf numFmtId="0" fontId="46" fillId="0" borderId="0" xfId="120" applyNumberFormat="1" applyFont="1" applyAlignment="1">
      <alignment horizontal="centerContinuous"/>
    </xf>
    <xf numFmtId="0" fontId="46" fillId="0" borderId="0" xfId="120" applyFont="1"/>
    <xf numFmtId="164" fontId="46" fillId="0" borderId="0" xfId="34" applyNumberFormat="1" applyFont="1"/>
    <xf numFmtId="0" fontId="47" fillId="0" borderId="0" xfId="119" applyNumberFormat="1" applyFont="1" applyFill="1" applyBorder="1" applyAlignment="1">
      <alignment horizontal="left"/>
    </xf>
    <xf numFmtId="164" fontId="22" fillId="0" borderId="3" xfId="34" applyNumberFormat="1" applyFont="1" applyBorder="1"/>
    <xf numFmtId="0" fontId="47" fillId="0" borderId="0" xfId="119" applyNumberFormat="1" applyFont="1" applyFill="1" applyAlignment="1">
      <alignment horizontal="left"/>
    </xf>
    <xf numFmtId="164" fontId="22" fillId="22" borderId="0" xfId="31" applyNumberFormat="1" applyFont="1" applyFill="1" applyBorder="1"/>
    <xf numFmtId="164" fontId="22" fillId="0" borderId="0" xfId="31" applyNumberFormat="1" applyFont="1"/>
    <xf numFmtId="164" fontId="22" fillId="0" borderId="3" xfId="31" applyNumberFormat="1" applyFont="1" applyBorder="1"/>
    <xf numFmtId="0" fontId="22" fillId="0" borderId="0" xfId="120" quotePrefix="1" applyFont="1"/>
    <xf numFmtId="0" fontId="65" fillId="0" borderId="0" xfId="120" applyFont="1" applyAlignment="1">
      <alignment horizontal="left"/>
    </xf>
    <xf numFmtId="164" fontId="22" fillId="22" borderId="1" xfId="31" applyNumberFormat="1" applyFont="1" applyFill="1" applyBorder="1"/>
    <xf numFmtId="0" fontId="22" fillId="0" borderId="0" xfId="120" applyNumberFormat="1" applyFont="1" applyAlignment="1">
      <alignment horizontal="left"/>
    </xf>
    <xf numFmtId="0" fontId="22" fillId="0" borderId="0" xfId="120" applyNumberFormat="1" applyFont="1" applyFill="1" applyAlignment="1">
      <alignment horizontal="left"/>
    </xf>
    <xf numFmtId="0" fontId="65" fillId="0" borderId="0" xfId="120" applyFont="1"/>
    <xf numFmtId="0" fontId="65" fillId="0" borderId="0" xfId="120" quotePrefix="1" applyFont="1" applyAlignment="1">
      <alignment horizontal="left"/>
    </xf>
    <xf numFmtId="0" fontId="47" fillId="0" borderId="0" xfId="87" applyFont="1"/>
    <xf numFmtId="164" fontId="47" fillId="0" borderId="0" xfId="31" applyNumberFormat="1" applyFont="1"/>
    <xf numFmtId="0" fontId="49" fillId="0" borderId="0" xfId="87" applyFont="1"/>
    <xf numFmtId="0" fontId="65" fillId="23" borderId="0" xfId="120" quotePrefix="1" applyFont="1" applyFill="1" applyAlignment="1">
      <alignment horizontal="left"/>
    </xf>
    <xf numFmtId="0" fontId="22" fillId="23" borderId="0" xfId="120" applyFont="1" applyFill="1"/>
    <xf numFmtId="164" fontId="22" fillId="23" borderId="1" xfId="31" applyNumberFormat="1" applyFont="1" applyFill="1" applyBorder="1"/>
    <xf numFmtId="164" fontId="22" fillId="0" borderId="0" xfId="31" applyNumberFormat="1" applyFont="1" applyFill="1"/>
    <xf numFmtId="164" fontId="22" fillId="0" borderId="0" xfId="31" applyNumberFormat="1" applyFont="1" applyFill="1" applyBorder="1"/>
    <xf numFmtId="0" fontId="22" fillId="0" borderId="0" xfId="120" applyNumberFormat="1" applyFont="1" applyFill="1"/>
    <xf numFmtId="0" fontId="47" fillId="0" borderId="0" xfId="90" applyFont="1"/>
    <xf numFmtId="168" fontId="47" fillId="0" borderId="0" xfId="90" applyNumberFormat="1" applyFont="1"/>
    <xf numFmtId="0" fontId="47" fillId="0" borderId="0" xfId="90" applyFont="1" applyBorder="1"/>
    <xf numFmtId="164" fontId="46" fillId="0" borderId="0" xfId="31" applyNumberFormat="1" applyFont="1"/>
    <xf numFmtId="0" fontId="65" fillId="24" borderId="0" xfId="120" applyFont="1" applyFill="1" applyAlignment="1">
      <alignment horizontal="left"/>
    </xf>
    <xf numFmtId="0" fontId="22" fillId="24" borderId="0" xfId="120" applyFont="1" applyFill="1"/>
    <xf numFmtId="164" fontId="47" fillId="24" borderId="1" xfId="34" applyNumberFormat="1" applyFont="1" applyFill="1" applyBorder="1"/>
    <xf numFmtId="164" fontId="47" fillId="24" borderId="0" xfId="34" applyNumberFormat="1" applyFont="1" applyFill="1" applyBorder="1"/>
    <xf numFmtId="164" fontId="22" fillId="0" borderId="0" xfId="31" applyNumberFormat="1" applyFont="1" applyBorder="1"/>
    <xf numFmtId="164" fontId="47" fillId="0" borderId="0" xfId="31" applyNumberFormat="1" applyFont="1" applyFill="1" applyBorder="1"/>
    <xf numFmtId="37" fontId="47" fillId="0" borderId="0" xfId="119" applyFont="1" applyFill="1" applyBorder="1"/>
    <xf numFmtId="0" fontId="47" fillId="0" borderId="0" xfId="87" applyNumberFormat="1" applyFont="1" applyAlignment="1">
      <alignment horizontal="left"/>
    </xf>
    <xf numFmtId="0" fontId="47" fillId="0" borderId="0" xfId="87" applyNumberFormat="1" applyFont="1" applyFill="1" applyAlignment="1">
      <alignment horizontal="left"/>
    </xf>
    <xf numFmtId="164" fontId="47" fillId="0" borderId="0" xfId="31" applyNumberFormat="1" applyFont="1" applyFill="1"/>
    <xf numFmtId="0" fontId="47" fillId="21" borderId="0" xfId="119" applyNumberFormat="1" applyFont="1" applyFill="1" applyAlignment="1">
      <alignment horizontal="left"/>
    </xf>
    <xf numFmtId="164" fontId="22" fillId="22" borderId="11" xfId="31" applyNumberFormat="1" applyFont="1" applyFill="1" applyBorder="1"/>
    <xf numFmtId="164" fontId="47" fillId="0" borderId="0" xfId="34" applyNumberFormat="1" applyFont="1" applyFill="1"/>
    <xf numFmtId="164" fontId="49" fillId="0" borderId="0" xfId="34" applyNumberFormat="1" applyFont="1" applyFill="1"/>
    <xf numFmtId="0" fontId="66" fillId="0" borderId="0" xfId="121" applyNumberFormat="1" applyFont="1" applyAlignment="1">
      <alignment horizontal="left"/>
    </xf>
    <xf numFmtId="37" fontId="49" fillId="0" borderId="0" xfId="119" applyFont="1" applyFill="1"/>
    <xf numFmtId="0" fontId="66" fillId="0" borderId="0" xfId="121" applyNumberFormat="1" applyFont="1" applyFill="1" applyAlignment="1">
      <alignment horizontal="left"/>
    </xf>
    <xf numFmtId="0" fontId="47" fillId="0" borderId="0" xfId="31" applyNumberFormat="1" applyFont="1" applyFill="1" applyAlignment="1">
      <alignment horizontal="left"/>
    </xf>
    <xf numFmtId="164" fontId="22" fillId="25" borderId="0" xfId="31" applyNumberFormat="1" applyFont="1" applyFill="1" applyBorder="1"/>
    <xf numFmtId="164" fontId="22" fillId="25" borderId="0" xfId="31" applyNumberFormat="1" applyFont="1" applyFill="1"/>
    <xf numFmtId="164" fontId="47" fillId="25" borderId="0" xfId="31" applyNumberFormat="1" applyFont="1" applyFill="1" applyBorder="1"/>
    <xf numFmtId="164" fontId="49" fillId="0" borderId="0" xfId="31" applyNumberFormat="1" applyFont="1" applyFill="1"/>
    <xf numFmtId="0" fontId="47" fillId="0" borderId="0" xfId="87" applyFont="1" applyFill="1"/>
    <xf numFmtId="37" fontId="49" fillId="0" borderId="0" xfId="119" applyFont="1" applyFill="1" applyBorder="1"/>
    <xf numFmtId="169" fontId="69" fillId="0" borderId="18" xfId="0" applyNumberFormat="1" applyFont="1" applyFill="1" applyBorder="1" applyAlignment="1">
      <alignment vertical="top" wrapText="1"/>
    </xf>
    <xf numFmtId="0" fontId="60" fillId="0" borderId="0" xfId="0" applyFont="1" applyAlignment="1">
      <alignment horizontal="center"/>
    </xf>
    <xf numFmtId="43" fontId="0" fillId="0" borderId="0" xfId="0" applyNumberFormat="1" applyAlignment="1">
      <alignment horizontal="right"/>
    </xf>
    <xf numFmtId="0" fontId="39" fillId="0" borderId="0" xfId="0" applyFont="1" applyBorder="1"/>
    <xf numFmtId="0" fontId="39" fillId="0" borderId="0" xfId="0" applyFont="1" applyFill="1" applyBorder="1"/>
    <xf numFmtId="0" fontId="39" fillId="0" borderId="0" xfId="0" applyFont="1" applyBorder="1" applyAlignment="1">
      <alignment horizontal="right"/>
    </xf>
    <xf numFmtId="9" fontId="0" fillId="0" borderId="0" xfId="118" applyFont="1" applyBorder="1"/>
    <xf numFmtId="9" fontId="39" fillId="0" borderId="0" xfId="118" applyFont="1" applyBorder="1"/>
    <xf numFmtId="0" fontId="60" fillId="0" borderId="0" xfId="0" applyFont="1" applyBorder="1"/>
    <xf numFmtId="0" fontId="39" fillId="0" borderId="3" xfId="0" applyFont="1" applyBorder="1" applyAlignment="1">
      <alignment horizontal="center"/>
    </xf>
  </cellXfs>
  <cellStyles count="267">
    <cellStyle name="20% - Accent1 2" xfId="5"/>
    <cellStyle name="20% - Accent1 3" xfId="122"/>
    <cellStyle name="20% - Accent2 2" xfId="123"/>
    <cellStyle name="20% - Accent3 2" xfId="124"/>
    <cellStyle name="20% - Accent4 2" xfId="6"/>
    <cellStyle name="20% - Accent4 3" xfId="125"/>
    <cellStyle name="20% - Accent5 2" xfId="126"/>
    <cellStyle name="20% - Accent6 2" xfId="127"/>
    <cellStyle name="40% - Accent1 2" xfId="7"/>
    <cellStyle name="40% - Accent1 3" xfId="128"/>
    <cellStyle name="40% - Accent2 2" xfId="129"/>
    <cellStyle name="40% - Accent3 2" xfId="130"/>
    <cellStyle name="40% - Accent4 2" xfId="8"/>
    <cellStyle name="40% - Accent4 3" xfId="131"/>
    <cellStyle name="40% - Accent5 2" xfId="9"/>
    <cellStyle name="40% - Accent6 2" xfId="10"/>
    <cellStyle name="40% - Accent6 3" xfId="132"/>
    <cellStyle name="60% - Accent1 2" xfId="11"/>
    <cellStyle name="60% - Accent1 3" xfId="133"/>
    <cellStyle name="60% - Accent2 2" xfId="12"/>
    <cellStyle name="60% - Accent3 2" xfId="13"/>
    <cellStyle name="60% - Accent3 3" xfId="134"/>
    <cellStyle name="60% - Accent4 2" xfId="14"/>
    <cellStyle name="60% - Accent4 3" xfId="135"/>
    <cellStyle name="60% - Accent5 2" xfId="15"/>
    <cellStyle name="60% - Accent6 2" xfId="136"/>
    <cellStyle name="Accent1 2" xfId="16"/>
    <cellStyle name="Accent1 3" xfId="137"/>
    <cellStyle name="Accent2 2" xfId="17"/>
    <cellStyle name="Accent3 2" xfId="18"/>
    <cellStyle name="Accent4 2" xfId="138"/>
    <cellStyle name="Accent5 2" xfId="139"/>
    <cellStyle name="Accent6 2" xfId="19"/>
    <cellStyle name="Accounting" xfId="20"/>
    <cellStyle name="Accounting 2" xfId="140"/>
    <cellStyle name="Accounting 3" xfId="141"/>
    <cellStyle name="Accounting_2011-11" xfId="142"/>
    <cellStyle name="Bad 2" xfId="21"/>
    <cellStyle name="Budget" xfId="22"/>
    <cellStyle name="Budget 2" xfId="143"/>
    <cellStyle name="Budget 3" xfId="144"/>
    <cellStyle name="Budget_2011-11" xfId="145"/>
    <cellStyle name="Calculation 2" xfId="23"/>
    <cellStyle name="Calculation 3" xfId="146"/>
    <cellStyle name="Check Cell 2" xfId="147"/>
    <cellStyle name="combo" xfId="148"/>
    <cellStyle name="Comma" xfId="1" builtinId="3"/>
    <cellStyle name="Comma 10" xfId="24"/>
    <cellStyle name="Comma 11" xfId="25"/>
    <cellStyle name="Comma 12" xfId="26"/>
    <cellStyle name="Comma 13" xfId="27"/>
    <cellStyle name="Comma 14" xfId="28"/>
    <cellStyle name="Comma 15" xfId="29"/>
    <cellStyle name="Comma 16" xfId="30"/>
    <cellStyle name="Comma 17" xfId="149"/>
    <cellStyle name="Comma 18" xfId="150"/>
    <cellStyle name="Comma 19" xfId="151"/>
    <cellStyle name="Comma 2" xfId="31"/>
    <cellStyle name="Comma 2 2" xfId="32"/>
    <cellStyle name="Comma 2 2 2" xfId="152"/>
    <cellStyle name="Comma 2 3" xfId="33"/>
    <cellStyle name="Comma 2 4" xfId="153"/>
    <cellStyle name="Comma 3" xfId="34"/>
    <cellStyle name="Comma 3 2" xfId="35"/>
    <cellStyle name="Comma 3 2 2" xfId="36"/>
    <cellStyle name="Comma 3 3" xfId="37"/>
    <cellStyle name="Comma 3 4" xfId="154"/>
    <cellStyle name="Comma 4" xfId="38"/>
    <cellStyle name="Comma 4 2" xfId="39"/>
    <cellStyle name="Comma 4 2 2" xfId="264"/>
    <cellStyle name="Comma 4 3" xfId="40"/>
    <cellStyle name="Comma 4 4" xfId="41"/>
    <cellStyle name="Comma 4 5" xfId="42"/>
    <cellStyle name="Comma 5" xfId="43"/>
    <cellStyle name="Comma 6" xfId="44"/>
    <cellStyle name="Comma 6 2" xfId="155"/>
    <cellStyle name="Comma 7" xfId="45"/>
    <cellStyle name="Comma 8" xfId="46"/>
    <cellStyle name="Comma 9" xfId="47"/>
    <cellStyle name="Comma(2)" xfId="48"/>
    <cellStyle name="Comma0 - Style2" xfId="49"/>
    <cellStyle name="Comma1 - Style1" xfId="50"/>
    <cellStyle name="Comments" xfId="51"/>
    <cellStyle name="Currency" xfId="2" builtinId="4"/>
    <cellStyle name="Currency 10" xfId="156"/>
    <cellStyle name="Currency 2" xfId="52"/>
    <cellStyle name="Currency 2 2" xfId="4"/>
    <cellStyle name="Currency 2 3" xfId="157"/>
    <cellStyle name="Currency 3" xfId="53"/>
    <cellStyle name="Currency 3 2" xfId="158"/>
    <cellStyle name="Currency 4" xfId="54"/>
    <cellStyle name="Currency 5" xfId="55"/>
    <cellStyle name="Currency 6" xfId="56"/>
    <cellStyle name="Currency 7" xfId="57"/>
    <cellStyle name="Currency 8" xfId="159"/>
    <cellStyle name="Currency 9" xfId="160"/>
    <cellStyle name="Data Enter" xfId="58"/>
    <cellStyle name="date" xfId="161"/>
    <cellStyle name="Explanatory Text 2" xfId="162"/>
    <cellStyle name="FactSheet" xfId="59"/>
    <cellStyle name="fish" xfId="163"/>
    <cellStyle name="Good 2" xfId="60"/>
    <cellStyle name="Heading 1 2" xfId="61"/>
    <cellStyle name="Heading 1 3" xfId="164"/>
    <cellStyle name="Heading 2 2" xfId="62"/>
    <cellStyle name="Heading 2 3" xfId="165"/>
    <cellStyle name="Heading 3 2" xfId="63"/>
    <cellStyle name="Heading 3 3" xfId="166"/>
    <cellStyle name="Heading 4 2" xfId="167"/>
    <cellStyle name="Hyperlink 2" xfId="64"/>
    <cellStyle name="Hyperlink 3" xfId="65"/>
    <cellStyle name="Input 2" xfId="168"/>
    <cellStyle name="input(0)" xfId="66"/>
    <cellStyle name="Input(2)" xfId="67"/>
    <cellStyle name="Linked Cell 2" xfId="68"/>
    <cellStyle name="Neutral 2" xfId="69"/>
    <cellStyle name="New_normal" xfId="70"/>
    <cellStyle name="Normal" xfId="0" builtinId="0"/>
    <cellStyle name="Normal - Style1" xfId="71"/>
    <cellStyle name="Normal - Style2" xfId="72"/>
    <cellStyle name="Normal - Style3" xfId="73"/>
    <cellStyle name="Normal - Style4" xfId="74"/>
    <cellStyle name="Normal - Style5" xfId="75"/>
    <cellStyle name="Normal 10" xfId="76"/>
    <cellStyle name="Normal 10 2" xfId="169"/>
    <cellStyle name="Normal 10 2 2" xfId="170"/>
    <cellStyle name="Normal 10_2112 DF Schedule" xfId="171"/>
    <cellStyle name="Normal 11" xfId="77"/>
    <cellStyle name="Normal 12" xfId="78"/>
    <cellStyle name="Normal 13" xfId="79"/>
    <cellStyle name="Normal 14" xfId="80"/>
    <cellStyle name="Normal 15" xfId="81"/>
    <cellStyle name="Normal 16" xfId="82"/>
    <cellStyle name="Normal 17" xfId="83"/>
    <cellStyle name="Normal 18" xfId="84"/>
    <cellStyle name="Normal 19" xfId="85"/>
    <cellStyle name="Normal 2" xfId="86"/>
    <cellStyle name="Normal 2 2" xfId="87"/>
    <cellStyle name="Normal 2 2 2" xfId="88"/>
    <cellStyle name="Normal 2 2 3" xfId="89"/>
    <cellStyle name="Normal 2 2_4MthProj2" xfId="265"/>
    <cellStyle name="Normal 2 3" xfId="90"/>
    <cellStyle name="Normal 2 3 2" xfId="91"/>
    <cellStyle name="Normal 2 3 3" xfId="92"/>
    <cellStyle name="Normal 2 3_4MthProj2" xfId="266"/>
    <cellStyle name="Normal 2 4" xfId="93"/>
    <cellStyle name="Normal 2 5" xfId="94"/>
    <cellStyle name="Normal 2_2012-10" xfId="172"/>
    <cellStyle name="Normal 20" xfId="173"/>
    <cellStyle name="Normal 21" xfId="174"/>
    <cellStyle name="Normal 22" xfId="175"/>
    <cellStyle name="Normal 23" xfId="176"/>
    <cellStyle name="Normal 24" xfId="177"/>
    <cellStyle name="Normal 25" xfId="178"/>
    <cellStyle name="Normal 26" xfId="179"/>
    <cellStyle name="Normal 27" xfId="180"/>
    <cellStyle name="Normal 28" xfId="181"/>
    <cellStyle name="Normal 29" xfId="182"/>
    <cellStyle name="Normal 3" xfId="95"/>
    <cellStyle name="Normal 3 2" xfId="96"/>
    <cellStyle name="Normal 3_2012 PR" xfId="183"/>
    <cellStyle name="Normal 30" xfId="184"/>
    <cellStyle name="Normal 31" xfId="185"/>
    <cellStyle name="Normal 32" xfId="186"/>
    <cellStyle name="Normal 33" xfId="187"/>
    <cellStyle name="Normal 34" xfId="188"/>
    <cellStyle name="Normal 35" xfId="189"/>
    <cellStyle name="Normal 36" xfId="190"/>
    <cellStyle name="Normal 37" xfId="191"/>
    <cellStyle name="Normal 38" xfId="192"/>
    <cellStyle name="Normal 39" xfId="193"/>
    <cellStyle name="Normal 4" xfId="97"/>
    <cellStyle name="Normal 40" xfId="194"/>
    <cellStyle name="Normal 41" xfId="195"/>
    <cellStyle name="Normal 42" xfId="196"/>
    <cellStyle name="Normal 43" xfId="197"/>
    <cellStyle name="Normal 44" xfId="198"/>
    <cellStyle name="Normal 45" xfId="199"/>
    <cellStyle name="Normal 46" xfId="200"/>
    <cellStyle name="Normal 47" xfId="201"/>
    <cellStyle name="Normal 48" xfId="202"/>
    <cellStyle name="Normal 49" xfId="203"/>
    <cellStyle name="Normal 5" xfId="98"/>
    <cellStyle name="Normal 5 2" xfId="99"/>
    <cellStyle name="Normal 5_2112 DF Schedule" xfId="204"/>
    <cellStyle name="Normal 50" xfId="205"/>
    <cellStyle name="Normal 51" xfId="206"/>
    <cellStyle name="Normal 52" xfId="207"/>
    <cellStyle name="Normal 53" xfId="208"/>
    <cellStyle name="Normal 54" xfId="209"/>
    <cellStyle name="Normal 55" xfId="210"/>
    <cellStyle name="Normal 56" xfId="211"/>
    <cellStyle name="Normal 57" xfId="212"/>
    <cellStyle name="Normal 58" xfId="213"/>
    <cellStyle name="Normal 59" xfId="214"/>
    <cellStyle name="Normal 6" xfId="100"/>
    <cellStyle name="Normal 60" xfId="215"/>
    <cellStyle name="Normal 61" xfId="216"/>
    <cellStyle name="Normal 62" xfId="217"/>
    <cellStyle name="Normal 63" xfId="218"/>
    <cellStyle name="Normal 64" xfId="219"/>
    <cellStyle name="Normal 65" xfId="220"/>
    <cellStyle name="Normal 66" xfId="221"/>
    <cellStyle name="Normal 67" xfId="222"/>
    <cellStyle name="Normal 68" xfId="223"/>
    <cellStyle name="Normal 69" xfId="224"/>
    <cellStyle name="Normal 7" xfId="101"/>
    <cellStyle name="Normal 70" xfId="225"/>
    <cellStyle name="Normal 71" xfId="226"/>
    <cellStyle name="Normal 72" xfId="227"/>
    <cellStyle name="Normal 73" xfId="228"/>
    <cellStyle name="Normal 74" xfId="229"/>
    <cellStyle name="Normal 75" xfId="230"/>
    <cellStyle name="Normal 76" xfId="231"/>
    <cellStyle name="Normal 77" xfId="232"/>
    <cellStyle name="Normal 78" xfId="233"/>
    <cellStyle name="Normal 79" xfId="234"/>
    <cellStyle name="Normal 8" xfId="102"/>
    <cellStyle name="Normal 80" xfId="235"/>
    <cellStyle name="Normal 81" xfId="236"/>
    <cellStyle name="Normal 82" xfId="237"/>
    <cellStyle name="Normal 83" xfId="238"/>
    <cellStyle name="Normal 84" xfId="239"/>
    <cellStyle name="Normal 9" xfId="103"/>
    <cellStyle name="Normal_IS210PL" xfId="121"/>
    <cellStyle name="Normal_Regulated Price Out 9-6-2011 Final HL" xfId="3"/>
    <cellStyle name="Normal_Report" xfId="119"/>
    <cellStyle name="Normal_TheTool_Jeff_v5 2" xfId="120"/>
    <cellStyle name="Note 2" xfId="104"/>
    <cellStyle name="Note 3" xfId="240"/>
    <cellStyle name="Notes" xfId="105"/>
    <cellStyle name="Output 2" xfId="241"/>
    <cellStyle name="Percent" xfId="118" builtinId="5"/>
    <cellStyle name="Percent 2" xfId="106"/>
    <cellStyle name="Percent 2 2" xfId="107"/>
    <cellStyle name="Percent 2 3" xfId="242"/>
    <cellStyle name="Percent 3" xfId="108"/>
    <cellStyle name="Percent 4" xfId="109"/>
    <cellStyle name="Percent 4 2" xfId="243"/>
    <cellStyle name="Percent 5" xfId="244"/>
    <cellStyle name="Percent 6" xfId="245"/>
    <cellStyle name="Percent 7" xfId="246"/>
    <cellStyle name="Percent 8" xfId="247"/>
    <cellStyle name="Percent(1)" xfId="110"/>
    <cellStyle name="Percent(2)" xfId="111"/>
    <cellStyle name="PRM" xfId="112"/>
    <cellStyle name="PRM 2" xfId="248"/>
    <cellStyle name="PRM 3" xfId="249"/>
    <cellStyle name="PRM_2011-11" xfId="250"/>
    <cellStyle name="PSChar" xfId="113"/>
    <cellStyle name="PSHeading" xfId="114"/>
    <cellStyle name="STYL0 - Style1" xfId="251"/>
    <cellStyle name="STYL1 - Style2" xfId="252"/>
    <cellStyle name="STYL2 - Style3" xfId="253"/>
    <cellStyle name="STYL3 - Style4" xfId="254"/>
    <cellStyle name="STYL4 - Style5" xfId="255"/>
    <cellStyle name="STYL5 - Style6" xfId="256"/>
    <cellStyle name="STYL6 - Style7" xfId="257"/>
    <cellStyle name="STYL7 - Style8" xfId="258"/>
    <cellStyle name="Style 1" xfId="115"/>
    <cellStyle name="Style 1 2" xfId="259"/>
    <cellStyle name="STYLE1" xfId="116"/>
    <cellStyle name="sub heading" xfId="260"/>
    <cellStyle name="Title 2" xfId="261"/>
    <cellStyle name="Total 2" xfId="117"/>
    <cellStyle name="Total 3" xfId="262"/>
    <cellStyle name="Warning Text 2" xfId="26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34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4\home$\SRC%20Reports\SRC%20Format\Bonus%20Schedule\PNWR%20SRC%20Bonus%20Schedule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2183-1%20Pacific%20Disp,%20Butlers%20Cove\Filing%20Possibly%202012\Filing\Audit\Final%20Outcome%208-14-2012\Pro%20Forma%20Pacific%20Disposal_Staf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son\Rate%20Increase%201-1-2013\1%20Filing%2011-14-2012\Revised%202-21-2013\staff%20Mason%20Proforma%209-30-2012-Linked%20Cust%20Count%20Fix%2012-2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4\home$\Annual%20Reports\2180%20LeMay\2009\LeMay%20Annual%20Report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4\home$\LeMay\Master%20Truck%20Schedule\South_LeMay%20Master%20Truck%20Schedule-Shar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A1:R27"/>
  <sheetViews>
    <sheetView tabSelected="1" zoomScaleNormal="100" workbookViewId="0">
      <pane xSplit="1" topLeftCell="B1" activePane="topRight" state="frozen"/>
      <selection pane="topRight" activeCell="J33" sqref="J33"/>
    </sheetView>
  </sheetViews>
  <sheetFormatPr defaultRowHeight="15"/>
  <cols>
    <col min="1" max="1" width="28.7109375" bestFit="1" customWidth="1"/>
    <col min="2" max="2" width="9" bestFit="1" customWidth="1"/>
    <col min="3" max="3" width="12.5703125" bestFit="1" customWidth="1"/>
    <col min="4" max="4" width="10.5703125" bestFit="1" customWidth="1"/>
    <col min="5" max="5" width="3.7109375" customWidth="1"/>
    <col min="6" max="6" width="11.28515625" bestFit="1" customWidth="1"/>
    <col min="7" max="7" width="10.42578125" bestFit="1" customWidth="1"/>
    <col min="8" max="8" width="9" bestFit="1" customWidth="1"/>
    <col min="9" max="9" width="8.85546875" bestFit="1" customWidth="1"/>
    <col min="10" max="10" width="8" bestFit="1" customWidth="1"/>
    <col min="11" max="11" width="8.5703125" bestFit="1" customWidth="1"/>
    <col min="12" max="13" width="9" bestFit="1" customWidth="1"/>
    <col min="14" max="14" width="5.28515625" customWidth="1"/>
    <col min="15" max="15" width="11.28515625" bestFit="1" customWidth="1"/>
    <col min="16" max="16" width="10.5703125" bestFit="1" customWidth="1"/>
    <col min="17" max="17" width="13" customWidth="1"/>
    <col min="18" max="18" width="16.42578125" bestFit="1" customWidth="1"/>
  </cols>
  <sheetData>
    <row r="1" spans="1:18">
      <c r="A1" s="47" t="s">
        <v>267</v>
      </c>
    </row>
    <row r="2" spans="1:18">
      <c r="A2" s="47" t="s">
        <v>254</v>
      </c>
    </row>
    <row r="3" spans="1:18">
      <c r="A3" s="47"/>
    </row>
    <row r="5" spans="1:18" ht="38.25" customHeight="1">
      <c r="B5" s="48" t="s">
        <v>268</v>
      </c>
      <c r="C5" s="48" t="s">
        <v>269</v>
      </c>
      <c r="D5" s="48" t="s">
        <v>460</v>
      </c>
      <c r="E5" s="48"/>
      <c r="F5" s="48" t="s">
        <v>270</v>
      </c>
      <c r="G5" s="48" t="s">
        <v>271</v>
      </c>
      <c r="H5" s="48" t="s">
        <v>272</v>
      </c>
      <c r="I5" s="48" t="s">
        <v>273</v>
      </c>
      <c r="J5" s="48" t="s">
        <v>274</v>
      </c>
      <c r="K5" s="48" t="s">
        <v>275</v>
      </c>
      <c r="L5" s="48" t="s">
        <v>276</v>
      </c>
      <c r="M5" s="48" t="s">
        <v>461</v>
      </c>
      <c r="O5" s="48" t="s">
        <v>456</v>
      </c>
      <c r="P5" s="49" t="s">
        <v>256</v>
      </c>
      <c r="Q5" s="50" t="s">
        <v>257</v>
      </c>
    </row>
    <row r="6" spans="1:18">
      <c r="A6" s="51" t="s">
        <v>258</v>
      </c>
      <c r="B6" s="52">
        <f>'Spokane Reg - Price out'!I33</f>
        <v>348339.96499999997</v>
      </c>
      <c r="C6" s="52">
        <f>'Whitman Reg - Price Out'!H37</f>
        <v>983997.78999999992</v>
      </c>
      <c r="D6" s="52">
        <f t="shared" ref="D6:D17" si="0">SUM(B6:C6)</f>
        <v>1332337.7549999999</v>
      </c>
      <c r="E6" s="52"/>
      <c r="F6" s="52"/>
      <c r="G6" s="52">
        <f>'Harrington Non-Reg - Price Out'!V22</f>
        <v>19560.820000000003</v>
      </c>
      <c r="H6" s="52">
        <f>'Latah Co Non-Reg - Price Out'!V15</f>
        <v>17857.16</v>
      </c>
      <c r="I6" s="52">
        <f>'Rockford Non-Reg - Price Out'!V24</f>
        <v>40912.03</v>
      </c>
      <c r="J6" s="52">
        <f>'Spangle Non-Reg - Price Out'!U17</f>
        <v>31497.829999999994</v>
      </c>
      <c r="K6" s="52">
        <f>'Starbuck Non-Reg - Price Out'!U21</f>
        <v>11435.92</v>
      </c>
      <c r="L6" s="52">
        <f>'Tekoa Non-Reg - Price Out'!V27</f>
        <v>80043.089999999982</v>
      </c>
      <c r="M6" s="52">
        <f t="shared" ref="M6:M17" si="1">SUM(F6:L6)</f>
        <v>201306.84999999998</v>
      </c>
      <c r="O6" s="52">
        <f t="shared" ref="O6:O17" si="2">D6+M6</f>
        <v>1533644.605</v>
      </c>
      <c r="P6" s="52">
        <f>SUM('IS 210 Jul-Sep'!J19:N20)+SUM('IS 210 Oct-Dec'!J19:N20)+SUM('IS 210 Jan-Mar'!J19:N20)+SUM('IS 210 Apr-Jun'!J19:N20)</f>
        <v>1536054.75</v>
      </c>
      <c r="Q6" s="52">
        <f>P6-(O6)</f>
        <v>2410.1450000000186</v>
      </c>
    </row>
    <row r="7" spans="1:18">
      <c r="A7" s="51" t="s">
        <v>259</v>
      </c>
      <c r="B7" s="52"/>
      <c r="C7" s="52">
        <f>'Whitman Reg - Price Out'!H42</f>
        <v>3692.6</v>
      </c>
      <c r="D7" s="52">
        <f t="shared" si="0"/>
        <v>3692.6</v>
      </c>
      <c r="E7" s="52"/>
      <c r="F7" s="52"/>
      <c r="G7" s="52"/>
      <c r="H7" s="52"/>
      <c r="I7" s="52"/>
      <c r="J7" s="52"/>
      <c r="K7" s="52"/>
      <c r="L7" s="52"/>
      <c r="M7" s="52">
        <f t="shared" si="1"/>
        <v>0</v>
      </c>
      <c r="O7" s="52">
        <f t="shared" si="2"/>
        <v>3692.6</v>
      </c>
      <c r="P7" s="52">
        <v>0</v>
      </c>
      <c r="Q7" s="52">
        <f t="shared" ref="Q7:Q17" si="3">P7-O7</f>
        <v>-3692.6</v>
      </c>
      <c r="R7" t="s">
        <v>455</v>
      </c>
    </row>
    <row r="8" spans="1:18">
      <c r="A8" s="51" t="s">
        <v>260</v>
      </c>
      <c r="B8" s="52"/>
      <c r="C8" s="52"/>
      <c r="D8" s="52">
        <f t="shared" si="0"/>
        <v>0</v>
      </c>
      <c r="E8" s="52"/>
      <c r="F8" s="52"/>
      <c r="G8" s="52"/>
      <c r="H8" s="52"/>
      <c r="I8" s="52"/>
      <c r="J8" s="52"/>
      <c r="K8" s="52"/>
      <c r="L8" s="52"/>
      <c r="M8" s="52">
        <f t="shared" si="1"/>
        <v>0</v>
      </c>
      <c r="O8" s="52">
        <f t="shared" si="2"/>
        <v>0</v>
      </c>
      <c r="P8" s="52"/>
      <c r="Q8" s="52">
        <f t="shared" si="3"/>
        <v>0</v>
      </c>
    </row>
    <row r="9" spans="1:18">
      <c r="A9" s="51" t="s">
        <v>261</v>
      </c>
      <c r="B9" s="52">
        <f>'Spokane Reg - Price out'!I79</f>
        <v>128922.62000000002</v>
      </c>
      <c r="C9" s="52">
        <f>'Whitman Reg - Price Out'!H123</f>
        <v>948089.98500000034</v>
      </c>
      <c r="D9" s="52">
        <f t="shared" si="0"/>
        <v>1077012.6050000004</v>
      </c>
      <c r="E9" s="52"/>
      <c r="F9" s="52">
        <f>'Army Non-Reg - Price Out'!V20</f>
        <v>34627.299999999996</v>
      </c>
      <c r="G9" s="52">
        <f>'Harrington Non-Reg - Price Out'!V39-'Harrington Non-Reg - Price Out'!V37</f>
        <v>24449.620000000003</v>
      </c>
      <c r="H9" s="52"/>
      <c r="I9" s="52">
        <f>'Rockford Non-Reg - Price Out'!V47-'Rockford Non-Reg - Price Out'!V45</f>
        <v>19474.159999999993</v>
      </c>
      <c r="J9" s="52">
        <f>'Spangle Non-Reg - Price Out'!U33-'Spangle Non-Reg - Price Out'!U31</f>
        <v>16057.59</v>
      </c>
      <c r="K9" s="52">
        <f>'Starbuck Non-Reg - Price Out'!U32-'Starbuck Non-Reg - Price Out'!U30</f>
        <v>2794.94</v>
      </c>
      <c r="L9" s="52">
        <f>'Tekoa Non-Reg - Price Out'!V63-'Tekoa Non-Reg - Price Out'!V61</f>
        <v>52026.180000000022</v>
      </c>
      <c r="M9" s="52">
        <f t="shared" si="1"/>
        <v>149429.79</v>
      </c>
      <c r="O9" s="52">
        <f t="shared" si="2"/>
        <v>1226442.3950000005</v>
      </c>
      <c r="P9" s="52">
        <f>SUM('IS 210 Jul-Sep'!J21:N23)+SUM('IS 210 Oct-Dec'!J21:N23)+SUM('IS 210 Jan-Mar'!J21:N23)+SUM('IS 210 Apr-Jun'!J21:N23)</f>
        <v>1250487.9000000004</v>
      </c>
      <c r="Q9" s="52">
        <f>P9-(O9)</f>
        <v>24045.504999999888</v>
      </c>
      <c r="R9" s="81"/>
    </row>
    <row r="10" spans="1:18">
      <c r="A10" s="51" t="s">
        <v>262</v>
      </c>
      <c r="B10" s="52"/>
      <c r="C10" s="52"/>
      <c r="D10" s="52">
        <f t="shared" si="0"/>
        <v>0</v>
      </c>
      <c r="E10" s="52"/>
      <c r="F10" s="52"/>
      <c r="G10" s="52"/>
      <c r="H10" s="52"/>
      <c r="I10" s="52"/>
      <c r="J10" s="52"/>
      <c r="K10" s="52"/>
      <c r="L10" s="52"/>
      <c r="M10" s="52">
        <f t="shared" si="1"/>
        <v>0</v>
      </c>
      <c r="O10" s="52">
        <f t="shared" si="2"/>
        <v>0</v>
      </c>
      <c r="P10" s="52"/>
      <c r="Q10" s="52">
        <f t="shared" si="3"/>
        <v>0</v>
      </c>
    </row>
    <row r="11" spans="1:18">
      <c r="A11" s="51" t="s">
        <v>263</v>
      </c>
      <c r="B11" s="52"/>
      <c r="C11" s="52"/>
      <c r="D11" s="52">
        <f t="shared" si="0"/>
        <v>0</v>
      </c>
      <c r="E11" s="52"/>
      <c r="F11" s="52"/>
      <c r="G11" s="52"/>
      <c r="H11" s="52"/>
      <c r="I11" s="52"/>
      <c r="J11" s="52"/>
      <c r="K11" s="52"/>
      <c r="L11" s="52"/>
      <c r="M11" s="52">
        <f t="shared" si="1"/>
        <v>0</v>
      </c>
      <c r="O11" s="52">
        <f t="shared" si="2"/>
        <v>0</v>
      </c>
      <c r="P11" s="53"/>
      <c r="Q11" s="52">
        <f t="shared" si="3"/>
        <v>0</v>
      </c>
    </row>
    <row r="12" spans="1:18">
      <c r="A12" s="51" t="s">
        <v>255</v>
      </c>
      <c r="B12" s="52"/>
      <c r="C12" s="52">
        <f>'Whitman Reg - Price Out'!H129</f>
        <v>7135</v>
      </c>
      <c r="D12" s="52">
        <f t="shared" si="0"/>
        <v>7135</v>
      </c>
      <c r="E12" s="52"/>
      <c r="F12" s="52"/>
      <c r="G12" s="52"/>
      <c r="H12" s="52"/>
      <c r="I12" s="52"/>
      <c r="J12" s="52"/>
      <c r="K12" s="52"/>
      <c r="L12" s="52"/>
      <c r="M12" s="52">
        <f t="shared" si="1"/>
        <v>0</v>
      </c>
      <c r="O12" s="52">
        <f t="shared" si="2"/>
        <v>7135</v>
      </c>
      <c r="P12" s="53"/>
      <c r="Q12" s="52">
        <f t="shared" si="3"/>
        <v>-7135</v>
      </c>
      <c r="R12" t="s">
        <v>454</v>
      </c>
    </row>
    <row r="13" spans="1:18">
      <c r="A13" s="51" t="s">
        <v>459</v>
      </c>
      <c r="B13" s="52"/>
      <c r="C13" s="52">
        <f>'Whitman Reg - Price Out'!H134</f>
        <v>25445.670000000002</v>
      </c>
      <c r="D13" s="52">
        <f t="shared" si="0"/>
        <v>25445.670000000002</v>
      </c>
      <c r="E13" s="52"/>
      <c r="F13" s="52"/>
      <c r="G13" s="52"/>
      <c r="H13" s="52"/>
      <c r="I13" s="52"/>
      <c r="J13" s="52"/>
      <c r="K13" s="52"/>
      <c r="L13" s="52"/>
      <c r="M13" s="52">
        <f t="shared" si="1"/>
        <v>0</v>
      </c>
      <c r="O13" s="52">
        <f t="shared" si="2"/>
        <v>25445.670000000002</v>
      </c>
      <c r="P13" s="53">
        <v>0</v>
      </c>
      <c r="Q13" s="52">
        <f t="shared" si="3"/>
        <v>-25445.670000000002</v>
      </c>
      <c r="R13" t="s">
        <v>454</v>
      </c>
    </row>
    <row r="14" spans="1:18">
      <c r="A14" s="51" t="s">
        <v>264</v>
      </c>
      <c r="B14" s="52">
        <f>'Spokane Reg - Price out'!I93</f>
        <v>24200.54</v>
      </c>
      <c r="C14" s="52">
        <f>'Whitman Reg - Price Out'!H150</f>
        <v>55637.83</v>
      </c>
      <c r="D14" s="52">
        <f t="shared" si="0"/>
        <v>79838.37</v>
      </c>
      <c r="E14" s="52"/>
      <c r="F14" s="52">
        <f>'Army Non-Reg - Price Out'!V31</f>
        <v>14014.750000000002</v>
      </c>
      <c r="G14" s="52"/>
      <c r="H14" s="52"/>
      <c r="I14" s="52"/>
      <c r="J14" s="52">
        <f>'Spangle Non-Reg - Price Out'!U44</f>
        <v>543.30000000000007</v>
      </c>
      <c r="K14" s="52"/>
      <c r="L14" s="52"/>
      <c r="M14" s="52">
        <f t="shared" si="1"/>
        <v>14558.050000000001</v>
      </c>
      <c r="O14" s="52">
        <f t="shared" si="2"/>
        <v>94396.42</v>
      </c>
      <c r="P14" s="52">
        <f>SUM('IS 210 Jul-Sep'!J16:N16,'IS 210 Jul-Sep'!J18:N18)+SUM('IS 210 Oct-Dec'!J16:N16,'IS 210 Oct-Dec'!J18:N18)+SUM('IS 210 Jan-Mar'!J16:N16,'IS 210 Jan-Mar'!J18:N18)+SUM('IS 210 Apr-Jun'!J16:N16,'IS 210 Apr-Jun'!J18:N18)</f>
        <v>97696.43</v>
      </c>
      <c r="Q14" s="52">
        <f>P14-(O14)</f>
        <v>3300.0099999999948</v>
      </c>
    </row>
    <row r="15" spans="1:18">
      <c r="A15" s="51" t="s">
        <v>265</v>
      </c>
      <c r="B15" s="52">
        <f>'Spokane Reg - Price out'!I98</f>
        <v>4025</v>
      </c>
      <c r="C15" s="52"/>
      <c r="D15" s="52">
        <f t="shared" si="0"/>
        <v>4025</v>
      </c>
      <c r="E15" s="52"/>
      <c r="F15" s="52"/>
      <c r="G15" s="52"/>
      <c r="H15" s="52"/>
      <c r="I15" s="52"/>
      <c r="J15" s="52"/>
      <c r="K15" s="52"/>
      <c r="L15" s="52"/>
      <c r="M15" s="52">
        <f t="shared" si="1"/>
        <v>0</v>
      </c>
      <c r="O15" s="52">
        <f t="shared" si="2"/>
        <v>4025</v>
      </c>
      <c r="P15" s="52"/>
      <c r="Q15" s="52">
        <f t="shared" si="3"/>
        <v>-4025</v>
      </c>
      <c r="R15" t="s">
        <v>453</v>
      </c>
    </row>
    <row r="16" spans="1:18">
      <c r="A16" s="51" t="s">
        <v>266</v>
      </c>
      <c r="B16" s="54">
        <f>'Spokane Reg - Price out'!I103</f>
        <v>23991.480000000003</v>
      </c>
      <c r="C16" s="54">
        <f>'Whitman Reg - Price Out'!H155</f>
        <v>41557.61</v>
      </c>
      <c r="D16" s="52">
        <f t="shared" si="0"/>
        <v>65549.09</v>
      </c>
      <c r="E16" s="54"/>
      <c r="F16" s="54">
        <f>'Army Non-Reg - Price Out'!V36</f>
        <v>7122.4</v>
      </c>
      <c r="G16" s="54"/>
      <c r="H16" s="54"/>
      <c r="I16" s="54"/>
      <c r="J16" s="54">
        <f>'Spangle Non-Reg - Price Out'!U49</f>
        <v>182.27</v>
      </c>
      <c r="K16" s="54"/>
      <c r="L16" s="54"/>
      <c r="M16" s="52">
        <f t="shared" si="1"/>
        <v>7304.67</v>
      </c>
      <c r="O16" s="52">
        <f t="shared" si="2"/>
        <v>72853.759999999995</v>
      </c>
      <c r="P16" s="54">
        <f>SUM('IS 210 Jul-Sep'!J17:N17)+SUM('IS 210 Oct-Dec'!J17:N17)+SUM('IS 210 Jan-Mar'!J17:N17)+SUM('IS 210 Apr-Jun'!J17:N17)</f>
        <v>72308.31</v>
      </c>
      <c r="Q16" s="52">
        <f t="shared" si="3"/>
        <v>-545.44999999999709</v>
      </c>
    </row>
    <row r="17" spans="1:18">
      <c r="A17" s="51" t="s">
        <v>23</v>
      </c>
      <c r="B17" s="55">
        <f>'Spokane Reg - Price out'!I109</f>
        <v>754.3</v>
      </c>
      <c r="C17" s="55">
        <f>'Whitman Reg - Price Out'!H162</f>
        <v>3419.6000000000004</v>
      </c>
      <c r="D17" s="55">
        <f t="shared" si="0"/>
        <v>4173.9000000000005</v>
      </c>
      <c r="E17" s="55"/>
      <c r="F17" s="55">
        <f>'Army Non-Reg - Price Out'!V42</f>
        <v>0</v>
      </c>
      <c r="G17" s="55"/>
      <c r="H17" s="55"/>
      <c r="I17" s="55"/>
      <c r="J17" s="55">
        <f>'Spangle Non-Reg - Price Out'!U55</f>
        <v>0</v>
      </c>
      <c r="K17" s="55"/>
      <c r="L17" s="55"/>
      <c r="M17" s="55">
        <f t="shared" si="1"/>
        <v>0</v>
      </c>
      <c r="O17" s="55">
        <f t="shared" si="2"/>
        <v>4173.9000000000005</v>
      </c>
      <c r="P17" s="55">
        <f>SUM('IS 210 Jul-Sep'!J52:N52)+SUM('IS 210 Oct-Dec'!J52:N52)+SUM('IS 210 Jan-Mar'!J51:N51)+SUM('IS 210 Apr-Jun'!J51:N51)</f>
        <v>4556.38</v>
      </c>
      <c r="Q17" s="52">
        <f t="shared" si="3"/>
        <v>382.47999999999956</v>
      </c>
    </row>
    <row r="18" spans="1:18">
      <c r="B18" s="52">
        <f>SUM(B6:B17)</f>
        <v>530233.90500000003</v>
      </c>
      <c r="C18" s="52">
        <f>SUM(C6:C17)</f>
        <v>2068976.0850000004</v>
      </c>
      <c r="D18" s="52">
        <f>SUM(D6:D17)</f>
        <v>2599209.9900000002</v>
      </c>
      <c r="E18" s="52"/>
      <c r="F18" s="52">
        <f>SUM(F6:F17)</f>
        <v>55764.45</v>
      </c>
      <c r="G18" s="52">
        <f t="shared" ref="G18:L18" si="4">SUM(G6:G17)</f>
        <v>44010.44</v>
      </c>
      <c r="H18" s="52">
        <f t="shared" si="4"/>
        <v>17857.16</v>
      </c>
      <c r="I18" s="52">
        <f t="shared" si="4"/>
        <v>60386.189999999988</v>
      </c>
      <c r="J18" s="52">
        <f t="shared" si="4"/>
        <v>48280.99</v>
      </c>
      <c r="K18" s="52">
        <f t="shared" si="4"/>
        <v>14230.86</v>
      </c>
      <c r="L18" s="52">
        <f t="shared" si="4"/>
        <v>132069.27000000002</v>
      </c>
      <c r="M18" s="52">
        <f>SUM(M6:M17)</f>
        <v>372599.36</v>
      </c>
      <c r="O18" s="52">
        <f t="shared" ref="O18:P18" si="5">SUM(O6:O17)</f>
        <v>2971809.35</v>
      </c>
      <c r="P18" s="52">
        <f t="shared" si="5"/>
        <v>2961103.7700000005</v>
      </c>
      <c r="Q18" s="52">
        <f>SUM(Q6:Q17)</f>
        <v>-10705.580000000096</v>
      </c>
      <c r="R18" s="79">
        <f>Q18/P18</f>
        <v>-3.6154018337560979E-3</v>
      </c>
    </row>
    <row r="19" spans="1:18">
      <c r="A19" s="51"/>
      <c r="B19" s="56">
        <f>B18-'Spokane Reg - Price out'!I111</f>
        <v>0</v>
      </c>
      <c r="C19" s="56">
        <f>C18-'Whitman Reg - Price Out'!H164</f>
        <v>0</v>
      </c>
      <c r="D19" s="78"/>
      <c r="E19" s="56"/>
      <c r="F19" s="56">
        <f>F18-'Army Non-Reg - Price Out'!V44</f>
        <v>0</v>
      </c>
      <c r="G19" s="53">
        <f>G18-'Harrington Non-Reg - Price Out'!V42</f>
        <v>30893.199999999997</v>
      </c>
      <c r="H19" s="53">
        <f>H18-'Latah Co Non-Reg - Price Out'!V18</f>
        <v>0</v>
      </c>
      <c r="I19" s="53">
        <f>I18-'Rockford Non-Reg - Price Out'!V50</f>
        <v>14481.869999999995</v>
      </c>
      <c r="J19" s="53">
        <f>J18-'Spangle Non-Reg - Price Out'!U57</f>
        <v>9597.1000000000058</v>
      </c>
      <c r="K19" s="53">
        <f>K18-'Starbuck Non-Reg - Price Out'!U35</f>
        <v>2837.6200000000008</v>
      </c>
      <c r="L19" s="53">
        <f>L18-'Tekoa Non-Reg - Price Out'!V65</f>
        <v>31646.530000000013</v>
      </c>
      <c r="M19" s="53"/>
      <c r="N19" s="53"/>
      <c r="O19" s="53"/>
    </row>
    <row r="20" spans="1:18">
      <c r="A20" s="51"/>
      <c r="B20" s="56"/>
      <c r="C20" s="56"/>
      <c r="D20" s="78"/>
      <c r="E20" s="56"/>
      <c r="F20" s="56"/>
      <c r="G20" s="53"/>
      <c r="H20" s="53"/>
      <c r="I20" s="53"/>
      <c r="J20" s="53"/>
      <c r="K20" s="53"/>
      <c r="L20" s="53"/>
      <c r="M20" s="53"/>
      <c r="N20" s="53"/>
      <c r="O20" s="53"/>
    </row>
    <row r="22" spans="1:18">
      <c r="D22" s="78"/>
      <c r="M22" s="56"/>
    </row>
    <row r="23" spans="1:18">
      <c r="F23" s="56"/>
    </row>
    <row r="26" spans="1:18">
      <c r="F26" s="78"/>
    </row>
    <row r="27" spans="1:18">
      <c r="F27" s="78"/>
    </row>
  </sheetData>
  <pageMargins left="0.7" right="0.7" top="0.75" bottom="0.75" header="0.3" footer="0.3"/>
  <pageSetup scale="63" fitToHeight="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AN60"/>
  <sheetViews>
    <sheetView workbookViewId="0">
      <pane xSplit="3" ySplit="6" topLeftCell="D7" activePane="bottomRight" state="frozen"/>
      <selection activeCell="AF25" sqref="AF24:AF25"/>
      <selection pane="topRight" activeCell="AF25" sqref="AF24:AF25"/>
      <selection pane="bottomLeft" activeCell="AF25" sqref="AF24:AF25"/>
      <selection pane="bottomRight" activeCell="AO28" sqref="AO28"/>
    </sheetView>
  </sheetViews>
  <sheetFormatPr defaultRowHeight="12.75" outlineLevelCol="1"/>
  <cols>
    <col min="1" max="1" width="34.28515625" style="5" customWidth="1"/>
    <col min="2" max="2" width="22.7109375" style="16" customWidth="1"/>
    <col min="3" max="3" width="29.140625" style="16" bestFit="1" customWidth="1"/>
    <col min="4" max="4" width="9.7109375" style="5" customWidth="1"/>
    <col min="5" max="10" width="10" style="5" hidden="1" customWidth="1" outlineLevel="1"/>
    <col min="11" max="11" width="11" style="5" bestFit="1" customWidth="1" collapsed="1"/>
    <col min="12" max="12" width="2" style="5" customWidth="1"/>
    <col min="13" max="18" width="10" style="5" hidden="1" customWidth="1" outlineLevel="1"/>
    <col min="19" max="19" width="11" style="5" bestFit="1" customWidth="1" collapsed="1"/>
    <col min="20" max="20" width="2.42578125" style="5" customWidth="1"/>
    <col min="21" max="21" width="11" style="5" customWidth="1"/>
    <col min="22" max="22" width="9.140625" style="5"/>
    <col min="23" max="23" width="9.42578125" style="5" hidden="1" customWidth="1" outlineLevel="1"/>
    <col min="24" max="31" width="8" style="5" hidden="1" customWidth="1" outlineLevel="1"/>
    <col min="32" max="34" width="9.42578125" style="5" hidden="1" customWidth="1" outlineLevel="1"/>
    <col min="35" max="35" width="7.5703125" style="5" bestFit="1" customWidth="1" collapsed="1"/>
    <col min="36" max="36" width="5.7109375" style="5" bestFit="1" customWidth="1"/>
    <col min="37" max="37" width="7.5703125" style="5" bestFit="1" customWidth="1"/>
    <col min="38" max="16384" width="9.140625" style="5"/>
  </cols>
  <sheetData>
    <row r="1" spans="1:40" ht="12" customHeight="1">
      <c r="B1" s="1" t="s">
        <v>28</v>
      </c>
      <c r="C1" s="2"/>
      <c r="D1" s="3"/>
      <c r="E1" s="4"/>
      <c r="F1" s="4"/>
      <c r="G1" s="4"/>
      <c r="H1" s="4"/>
      <c r="I1" s="4"/>
      <c r="J1" s="4"/>
      <c r="K1" s="4"/>
      <c r="L1" s="2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40" ht="12" customHeight="1">
      <c r="B2" s="1" t="s">
        <v>251</v>
      </c>
      <c r="C2" s="2"/>
      <c r="D2" s="100" t="s">
        <v>494</v>
      </c>
      <c r="F2" s="4"/>
      <c r="G2" s="4"/>
      <c r="H2" s="4"/>
      <c r="I2" s="4"/>
      <c r="J2" s="4"/>
      <c r="K2" s="4"/>
      <c r="L2" s="2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40" ht="12" customHeight="1">
      <c r="B3" s="6" t="str">
        <f>'Rockford Non-Reg - Price Out'!B3</f>
        <v>July 1, 2015 - June 30, 2016</v>
      </c>
      <c r="C3" s="2"/>
      <c r="D3" s="3"/>
      <c r="E3" s="7"/>
      <c r="F3" s="4"/>
      <c r="G3" s="4"/>
      <c r="H3" s="4"/>
      <c r="I3" s="4"/>
      <c r="J3" s="4"/>
      <c r="K3" s="4"/>
      <c r="L3" s="2"/>
      <c r="M3" s="7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40" ht="12" customHeight="1">
      <c r="B4" s="2"/>
      <c r="C4" s="8"/>
      <c r="D4" s="9" t="s">
        <v>558</v>
      </c>
      <c r="E4" s="103">
        <v>42186</v>
      </c>
      <c r="F4" s="103">
        <v>42217</v>
      </c>
      <c r="G4" s="103">
        <v>42248</v>
      </c>
      <c r="H4" s="103">
        <v>42278</v>
      </c>
      <c r="I4" s="103">
        <v>42309</v>
      </c>
      <c r="J4" s="103">
        <v>42339</v>
      </c>
      <c r="K4" s="104">
        <v>2015</v>
      </c>
      <c r="L4" s="2"/>
      <c r="M4" s="10">
        <v>42370</v>
      </c>
      <c r="N4" s="10">
        <v>42401</v>
      </c>
      <c r="O4" s="10">
        <v>42430</v>
      </c>
      <c r="P4" s="10">
        <v>42461</v>
      </c>
      <c r="Q4" s="10">
        <v>42491</v>
      </c>
      <c r="R4" s="10">
        <v>42522</v>
      </c>
      <c r="S4" s="11">
        <v>2016</v>
      </c>
      <c r="T4" s="8"/>
      <c r="U4" s="11" t="s">
        <v>524</v>
      </c>
      <c r="V4" s="4"/>
      <c r="W4" s="12">
        <v>42186</v>
      </c>
      <c r="X4" s="12">
        <v>42217</v>
      </c>
      <c r="Y4" s="12">
        <v>42248</v>
      </c>
      <c r="Z4" s="12">
        <v>42278</v>
      </c>
      <c r="AA4" s="12">
        <v>42309</v>
      </c>
      <c r="AB4" s="12">
        <v>42339</v>
      </c>
      <c r="AC4" s="12">
        <v>42370</v>
      </c>
      <c r="AD4" s="12">
        <v>42401</v>
      </c>
      <c r="AE4" s="12">
        <v>42430</v>
      </c>
      <c r="AF4" s="12">
        <v>42461</v>
      </c>
      <c r="AG4" s="12">
        <v>42491</v>
      </c>
      <c r="AH4" s="12">
        <v>42522</v>
      </c>
      <c r="AI4" s="12" t="s">
        <v>462</v>
      </c>
      <c r="AJ4" s="12" t="s">
        <v>490</v>
      </c>
      <c r="AK4" s="92" t="s">
        <v>492</v>
      </c>
    </row>
    <row r="5" spans="1:40" ht="12" customHeight="1">
      <c r="B5" s="13" t="s">
        <v>1</v>
      </c>
      <c r="C5" s="8" t="s">
        <v>2</v>
      </c>
      <c r="D5" s="14" t="s">
        <v>3</v>
      </c>
      <c r="E5" s="104" t="s">
        <v>4</v>
      </c>
      <c r="F5" s="104" t="s">
        <v>4</v>
      </c>
      <c r="G5" s="104" t="s">
        <v>4</v>
      </c>
      <c r="H5" s="104" t="s">
        <v>4</v>
      </c>
      <c r="I5" s="104" t="s">
        <v>4</v>
      </c>
      <c r="J5" s="104" t="s">
        <v>4</v>
      </c>
      <c r="K5" s="104" t="s">
        <v>4</v>
      </c>
      <c r="L5" s="8"/>
      <c r="M5" s="11" t="s">
        <v>4</v>
      </c>
      <c r="N5" s="11" t="s">
        <v>4</v>
      </c>
      <c r="O5" s="11" t="s">
        <v>4</v>
      </c>
      <c r="P5" s="11" t="s">
        <v>4</v>
      </c>
      <c r="Q5" s="11" t="s">
        <v>4</v>
      </c>
      <c r="R5" s="11" t="s">
        <v>4</v>
      </c>
      <c r="S5" s="11" t="s">
        <v>4</v>
      </c>
      <c r="T5" s="8"/>
      <c r="U5" s="11" t="s">
        <v>4</v>
      </c>
      <c r="V5" s="4"/>
      <c r="W5" s="15" t="s">
        <v>5</v>
      </c>
      <c r="X5" s="15" t="s">
        <v>5</v>
      </c>
      <c r="Y5" s="15" t="s">
        <v>5</v>
      </c>
      <c r="Z5" s="15" t="s">
        <v>5</v>
      </c>
      <c r="AA5" s="15" t="s">
        <v>5</v>
      </c>
      <c r="AB5" s="15" t="s">
        <v>5</v>
      </c>
      <c r="AC5" s="15" t="s">
        <v>5</v>
      </c>
      <c r="AD5" s="15" t="s">
        <v>5</v>
      </c>
      <c r="AE5" s="15" t="s">
        <v>5</v>
      </c>
      <c r="AF5" s="15" t="s">
        <v>5</v>
      </c>
      <c r="AG5" s="15" t="s">
        <v>5</v>
      </c>
      <c r="AH5" s="15" t="s">
        <v>5</v>
      </c>
      <c r="AI5" s="15" t="s">
        <v>491</v>
      </c>
      <c r="AJ5" s="15" t="s">
        <v>489</v>
      </c>
      <c r="AK5" s="93" t="s">
        <v>491</v>
      </c>
    </row>
    <row r="6" spans="1:40" ht="12" customHeight="1"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</row>
    <row r="7" spans="1:40" s="4" customFormat="1" ht="12" customHeight="1">
      <c r="C7" s="2"/>
      <c r="D7" s="3"/>
      <c r="L7" s="2"/>
      <c r="AI7" s="5"/>
    </row>
    <row r="8" spans="1:40" s="4" customFormat="1" ht="12" customHeight="1">
      <c r="D8" s="3"/>
      <c r="L8" s="17"/>
      <c r="AI8" s="5"/>
      <c r="AM8" s="4" t="s">
        <v>478</v>
      </c>
      <c r="AN8" s="89">
        <f>SUM(AJ12:AJ13,AJ25:AJ26)</f>
        <v>126.56965942372111</v>
      </c>
    </row>
    <row r="9" spans="1:40" s="4" customFormat="1" ht="12" customHeight="1">
      <c r="B9" s="18" t="s">
        <v>6</v>
      </c>
      <c r="C9" s="18" t="s">
        <v>6</v>
      </c>
      <c r="D9" s="3"/>
      <c r="L9" s="17"/>
      <c r="AI9" s="5"/>
      <c r="AM9" s="4" t="s">
        <v>479</v>
      </c>
      <c r="AN9" s="89">
        <f>SUM(AJ22:AJ24)</f>
        <v>4.9318826793170407</v>
      </c>
    </row>
    <row r="10" spans="1:40" s="4" customFormat="1" ht="12" customHeight="1">
      <c r="B10" s="18"/>
      <c r="C10" s="18"/>
      <c r="D10" s="3"/>
      <c r="L10" s="17"/>
      <c r="AI10" s="5"/>
    </row>
    <row r="11" spans="1:40" s="4" customFormat="1" ht="12" customHeight="1">
      <c r="B11" s="19" t="s">
        <v>7</v>
      </c>
      <c r="C11" s="19" t="s">
        <v>7</v>
      </c>
      <c r="D11" s="20"/>
      <c r="E11" s="22"/>
      <c r="F11" s="22"/>
      <c r="G11" s="22"/>
      <c r="H11" s="22"/>
      <c r="I11" s="22"/>
      <c r="J11" s="22"/>
      <c r="K11" s="23"/>
      <c r="L11" s="20"/>
      <c r="M11" s="22"/>
      <c r="N11" s="22"/>
      <c r="O11" s="22"/>
      <c r="P11" s="22"/>
      <c r="Q11" s="22"/>
      <c r="R11" s="22"/>
      <c r="S11" s="23"/>
      <c r="T11" s="23"/>
      <c r="U11" s="23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5"/>
    </row>
    <row r="12" spans="1:40" s="4" customFormat="1" ht="12" customHeight="1">
      <c r="A12" s="4" t="str">
        <f t="shared" ref="A12:A15" si="0">"SPANGLE"&amp;"RESIDENTIAL"&amp;B12</f>
        <v>SPANGLERESIDENTIALRL090.0G1W001</v>
      </c>
      <c r="B12" s="5" t="s">
        <v>43</v>
      </c>
      <c r="C12" s="5" t="s">
        <v>44</v>
      </c>
      <c r="D12" s="20">
        <v>22.9</v>
      </c>
      <c r="E12" s="21">
        <v>2506.52</v>
      </c>
      <c r="F12" s="21">
        <v>2512.14</v>
      </c>
      <c r="G12" s="21">
        <v>2512.14</v>
      </c>
      <c r="H12" s="21">
        <v>2461.56</v>
      </c>
      <c r="I12" s="21">
        <v>2444.6999999999998</v>
      </c>
      <c r="J12" s="21">
        <v>2461.56</v>
      </c>
      <c r="K12" s="23">
        <f t="shared" ref="K12:K15" si="1">SUM(E12:J12)</f>
        <v>14898.619999999997</v>
      </c>
      <c r="L12" s="20"/>
      <c r="M12" s="21">
        <v>2461.56</v>
      </c>
      <c r="N12" s="21">
        <v>2467.1800000000003</v>
      </c>
      <c r="O12" s="21">
        <v>2489.66</v>
      </c>
      <c r="P12" s="21">
        <v>2501.7199999999998</v>
      </c>
      <c r="Q12" s="21">
        <v>2524.7199999999998</v>
      </c>
      <c r="R12" s="21">
        <v>2559.08</v>
      </c>
      <c r="S12" s="23">
        <f t="shared" ref="S12:S15" si="2">SUM(M12:R12)</f>
        <v>15003.919999999998</v>
      </c>
      <c r="T12" s="23"/>
      <c r="U12" s="23">
        <f t="shared" ref="U12:U15" si="3">K12+S12</f>
        <v>29902.539999999994</v>
      </c>
      <c r="W12" s="22">
        <f>IFERROR(E12/$D12,0)</f>
        <v>109.45502183406114</v>
      </c>
      <c r="X12" s="22">
        <f t="shared" ref="X12:AB14" si="4">IFERROR(F12/$D12,0)</f>
        <v>109.70043668122271</v>
      </c>
      <c r="Y12" s="22">
        <f t="shared" si="4"/>
        <v>109.70043668122271</v>
      </c>
      <c r="Z12" s="22">
        <f t="shared" si="4"/>
        <v>107.49170305676856</v>
      </c>
      <c r="AA12" s="22">
        <f t="shared" si="4"/>
        <v>106.75545851528385</v>
      </c>
      <c r="AB12" s="22">
        <f t="shared" si="4"/>
        <v>107.49170305676856</v>
      </c>
      <c r="AC12" s="22">
        <f>IFERROR(M12/$D12,0)</f>
        <v>107.49170305676856</v>
      </c>
      <c r="AD12" s="22">
        <f t="shared" ref="AD12:AH14" si="5">IFERROR(N12/$D12,0)</f>
        <v>107.73711790393016</v>
      </c>
      <c r="AE12" s="22">
        <f t="shared" si="5"/>
        <v>108.71877729257642</v>
      </c>
      <c r="AF12" s="22">
        <f t="shared" si="5"/>
        <v>109.24541484716157</v>
      </c>
      <c r="AG12" s="22">
        <f t="shared" si="5"/>
        <v>110.24978165938865</v>
      </c>
      <c r="AH12" s="22">
        <f t="shared" si="5"/>
        <v>111.75021834061135</v>
      </c>
      <c r="AI12" s="82">
        <f>SUM(W12:AH12)/12</f>
        <v>108.8156477438137</v>
      </c>
      <c r="AJ12" s="89">
        <f>+AI12</f>
        <v>108.8156477438137</v>
      </c>
      <c r="AK12" s="89">
        <f>SUM(W12:AH12)</f>
        <v>1305.7877729257643</v>
      </c>
    </row>
    <row r="13" spans="1:40" s="4" customFormat="1" ht="12" customHeight="1">
      <c r="A13" s="4" t="str">
        <f t="shared" si="0"/>
        <v>SPANGLERESIDENTIALRL090.0G1W002</v>
      </c>
      <c r="B13" s="5" t="s">
        <v>45</v>
      </c>
      <c r="C13" s="5" t="s">
        <v>46</v>
      </c>
      <c r="D13" s="20">
        <v>44.82</v>
      </c>
      <c r="E13" s="21">
        <v>88.02</v>
      </c>
      <c r="F13" s="21">
        <v>88.02</v>
      </c>
      <c r="G13" s="21">
        <v>88.02</v>
      </c>
      <c r="H13" s="21">
        <v>88.02</v>
      </c>
      <c r="I13" s="21">
        <v>88.02</v>
      </c>
      <c r="J13" s="21">
        <v>88.02</v>
      </c>
      <c r="K13" s="23">
        <f t="shared" si="1"/>
        <v>528.12</v>
      </c>
      <c r="L13" s="20"/>
      <c r="M13" s="21">
        <v>88.02</v>
      </c>
      <c r="N13" s="21">
        <v>88.02</v>
      </c>
      <c r="O13" s="21">
        <v>88.02</v>
      </c>
      <c r="P13" s="21">
        <v>89.64</v>
      </c>
      <c r="Q13" s="21">
        <v>89.64</v>
      </c>
      <c r="R13" s="21">
        <v>89.64</v>
      </c>
      <c r="S13" s="23">
        <f t="shared" si="2"/>
        <v>532.98</v>
      </c>
      <c r="T13" s="23"/>
      <c r="U13" s="23">
        <f t="shared" si="3"/>
        <v>1061.0999999999999</v>
      </c>
      <c r="W13" s="22">
        <f t="shared" ref="W13:W14" si="6">IFERROR(E13/$D13,0)</f>
        <v>1.963855421686747</v>
      </c>
      <c r="X13" s="22">
        <f t="shared" si="4"/>
        <v>1.963855421686747</v>
      </c>
      <c r="Y13" s="22">
        <f t="shared" si="4"/>
        <v>1.963855421686747</v>
      </c>
      <c r="Z13" s="22">
        <f t="shared" si="4"/>
        <v>1.963855421686747</v>
      </c>
      <c r="AA13" s="22">
        <f t="shared" si="4"/>
        <v>1.963855421686747</v>
      </c>
      <c r="AB13" s="22">
        <f t="shared" si="4"/>
        <v>1.963855421686747</v>
      </c>
      <c r="AC13" s="22">
        <f t="shared" ref="AC13:AC14" si="7">IFERROR(M13/$D13,0)</f>
        <v>1.963855421686747</v>
      </c>
      <c r="AD13" s="22">
        <f t="shared" si="5"/>
        <v>1.963855421686747</v>
      </c>
      <c r="AE13" s="22">
        <f t="shared" si="5"/>
        <v>1.963855421686747</v>
      </c>
      <c r="AF13" s="22">
        <f t="shared" si="5"/>
        <v>2</v>
      </c>
      <c r="AG13" s="22">
        <f t="shared" si="5"/>
        <v>2</v>
      </c>
      <c r="AH13" s="22">
        <f t="shared" si="5"/>
        <v>2</v>
      </c>
      <c r="AI13" s="82">
        <f t="shared" ref="AI13:AI14" si="8">SUM(W13:AH13)/12</f>
        <v>1.9728915662650601</v>
      </c>
      <c r="AJ13" s="89">
        <f>+AI13*2</f>
        <v>3.9457831325301203</v>
      </c>
      <c r="AK13" s="89">
        <f t="shared" ref="AK13:AK14" si="9">SUM(W13:AH13)</f>
        <v>23.674698795180721</v>
      </c>
    </row>
    <row r="14" spans="1:40" s="4" customFormat="1" ht="12" customHeight="1">
      <c r="A14" s="4" t="str">
        <f t="shared" si="0"/>
        <v>SPANGLERESIDENTIALEXTRA-RES</v>
      </c>
      <c r="B14" s="5" t="s">
        <v>51</v>
      </c>
      <c r="C14" s="5" t="s">
        <v>52</v>
      </c>
      <c r="D14" s="20">
        <v>4.49</v>
      </c>
      <c r="E14" s="21">
        <v>8.82</v>
      </c>
      <c r="F14" s="21">
        <v>35.28</v>
      </c>
      <c r="G14" s="21">
        <v>39.69</v>
      </c>
      <c r="H14" s="21">
        <v>35.28</v>
      </c>
      <c r="I14" s="21">
        <v>13.23</v>
      </c>
      <c r="J14" s="21">
        <v>13.23</v>
      </c>
      <c r="K14" s="23">
        <f t="shared" si="1"/>
        <v>145.52999999999997</v>
      </c>
      <c r="L14" s="20"/>
      <c r="M14" s="21">
        <v>17.64</v>
      </c>
      <c r="N14" s="21">
        <v>8.82</v>
      </c>
      <c r="O14" s="21">
        <v>13.23</v>
      </c>
      <c r="P14" s="21">
        <v>26.46</v>
      </c>
      <c r="Q14" s="21">
        <v>53.879999999999995</v>
      </c>
      <c r="R14" s="21">
        <v>103.27</v>
      </c>
      <c r="S14" s="23">
        <f t="shared" si="2"/>
        <v>223.3</v>
      </c>
      <c r="T14" s="23"/>
      <c r="U14" s="23">
        <f t="shared" si="3"/>
        <v>368.83</v>
      </c>
      <c r="W14" s="22">
        <f t="shared" si="6"/>
        <v>1.9643652561247216</v>
      </c>
      <c r="X14" s="22">
        <f t="shared" si="4"/>
        <v>7.8574610244988863</v>
      </c>
      <c r="Y14" s="22">
        <f t="shared" si="4"/>
        <v>8.8396436525612465</v>
      </c>
      <c r="Z14" s="22">
        <f t="shared" si="4"/>
        <v>7.8574610244988863</v>
      </c>
      <c r="AA14" s="22">
        <f t="shared" si="4"/>
        <v>2.9465478841870825</v>
      </c>
      <c r="AB14" s="22">
        <f t="shared" si="4"/>
        <v>2.9465478841870825</v>
      </c>
      <c r="AC14" s="22">
        <f t="shared" si="7"/>
        <v>3.9287305122494431</v>
      </c>
      <c r="AD14" s="22">
        <f t="shared" si="5"/>
        <v>1.9643652561247216</v>
      </c>
      <c r="AE14" s="22">
        <f t="shared" si="5"/>
        <v>2.9465478841870825</v>
      </c>
      <c r="AF14" s="22">
        <f t="shared" si="5"/>
        <v>5.8930957683741649</v>
      </c>
      <c r="AG14" s="22">
        <f t="shared" si="5"/>
        <v>11.999999999999998</v>
      </c>
      <c r="AH14" s="22">
        <f t="shared" si="5"/>
        <v>22.999999999999996</v>
      </c>
      <c r="AI14" s="82">
        <f t="shared" si="8"/>
        <v>6.8453971789161097</v>
      </c>
      <c r="AJ14" s="89"/>
      <c r="AK14" s="89">
        <f t="shared" si="9"/>
        <v>82.144766146993319</v>
      </c>
    </row>
    <row r="15" spans="1:40" s="2" customFormat="1" ht="12" customHeight="1">
      <c r="A15" s="4" t="str">
        <f t="shared" si="0"/>
        <v>SPANGLERESIDENTIALADJ-RES</v>
      </c>
      <c r="B15" s="5" t="s">
        <v>474</v>
      </c>
      <c r="C15" s="5" t="s">
        <v>475</v>
      </c>
      <c r="D15" s="20"/>
      <c r="E15" s="21">
        <v>165.36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3">
        <f t="shared" si="1"/>
        <v>165.36</v>
      </c>
      <c r="L15" s="20"/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3">
        <f t="shared" si="2"/>
        <v>0</v>
      </c>
      <c r="T15" s="23"/>
      <c r="U15" s="23">
        <f t="shared" si="3"/>
        <v>165.36</v>
      </c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1:40" s="4" customFormat="1" ht="12" customHeight="1" thickBot="1">
      <c r="B16" s="24"/>
      <c r="C16" s="24"/>
      <c r="D16" s="20"/>
      <c r="E16" s="22"/>
      <c r="F16" s="22"/>
      <c r="G16" s="22"/>
      <c r="H16" s="22"/>
      <c r="I16" s="22"/>
      <c r="J16" s="22"/>
      <c r="K16" s="23"/>
      <c r="L16" s="20"/>
      <c r="M16" s="22"/>
      <c r="N16" s="22"/>
      <c r="O16" s="22"/>
      <c r="P16" s="22"/>
      <c r="Q16" s="22"/>
      <c r="R16" s="22"/>
      <c r="S16" s="23"/>
      <c r="T16" s="23"/>
      <c r="U16" s="23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5"/>
    </row>
    <row r="17" spans="1:37" s="2" customFormat="1" ht="12" customHeight="1" thickBot="1">
      <c r="B17" s="25"/>
      <c r="C17" s="26" t="s">
        <v>8</v>
      </c>
      <c r="D17" s="20"/>
      <c r="E17" s="27">
        <f t="shared" ref="E17:K17" si="10">SUM(E12:E16)</f>
        <v>2768.7200000000003</v>
      </c>
      <c r="F17" s="27">
        <f t="shared" si="10"/>
        <v>2635.44</v>
      </c>
      <c r="G17" s="27">
        <f t="shared" si="10"/>
        <v>2639.85</v>
      </c>
      <c r="H17" s="27">
        <f t="shared" si="10"/>
        <v>2584.86</v>
      </c>
      <c r="I17" s="27">
        <f t="shared" si="10"/>
        <v>2545.9499999999998</v>
      </c>
      <c r="J17" s="27">
        <f t="shared" si="10"/>
        <v>2562.81</v>
      </c>
      <c r="K17" s="27">
        <f t="shared" si="10"/>
        <v>15737.63</v>
      </c>
      <c r="L17" s="20"/>
      <c r="M17" s="27">
        <f t="shared" ref="M17:S17" si="11">SUM(M12:M16)</f>
        <v>2567.2199999999998</v>
      </c>
      <c r="N17" s="27">
        <f t="shared" si="11"/>
        <v>2564.0200000000004</v>
      </c>
      <c r="O17" s="27">
        <f t="shared" si="11"/>
        <v>2590.91</v>
      </c>
      <c r="P17" s="27">
        <f t="shared" si="11"/>
        <v>2617.8199999999997</v>
      </c>
      <c r="Q17" s="27">
        <f t="shared" si="11"/>
        <v>2668.24</v>
      </c>
      <c r="R17" s="27">
        <f t="shared" si="11"/>
        <v>2751.99</v>
      </c>
      <c r="S17" s="27">
        <f t="shared" si="11"/>
        <v>15760.199999999997</v>
      </c>
      <c r="T17" s="43"/>
      <c r="U17" s="27">
        <f>SUM(U12:U16)</f>
        <v>31497.829999999994</v>
      </c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85">
        <f>SUM(AI12:AI13)</f>
        <v>110.78853931007876</v>
      </c>
    </row>
    <row r="18" spans="1:37" s="4" customFormat="1" ht="12" customHeight="1">
      <c r="D18" s="20"/>
      <c r="G18" s="2"/>
      <c r="K18" s="23"/>
      <c r="L18" s="20"/>
      <c r="O18" s="2"/>
      <c r="S18" s="23"/>
      <c r="T18" s="23"/>
      <c r="U18" s="23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5"/>
    </row>
    <row r="19" spans="1:37" ht="12" customHeight="1">
      <c r="B19" s="33" t="s">
        <v>11</v>
      </c>
      <c r="C19" s="33" t="s">
        <v>11</v>
      </c>
    </row>
    <row r="20" spans="1:37" ht="12" customHeight="1">
      <c r="B20" s="33"/>
      <c r="C20" s="33"/>
    </row>
    <row r="21" spans="1:37" s="4" customFormat="1" ht="12" customHeight="1">
      <c r="B21" s="19" t="s">
        <v>12</v>
      </c>
      <c r="C21" s="19" t="s">
        <v>12</v>
      </c>
      <c r="D21" s="20"/>
      <c r="K21" s="23"/>
      <c r="L21" s="20"/>
      <c r="S21" s="23"/>
      <c r="T21" s="23"/>
      <c r="U21" s="23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5"/>
    </row>
    <row r="22" spans="1:37" s="4" customFormat="1" ht="12" customHeight="1">
      <c r="A22" s="4" t="str">
        <f t="shared" ref="A22:A31" si="12">"SPANGLE"&amp;"COMMERCIAL"&amp;B22</f>
        <v>SPANGLECOMMERCIALRL001.5Y1W001</v>
      </c>
      <c r="B22" s="5" t="s">
        <v>69</v>
      </c>
      <c r="C22" s="5" t="s">
        <v>70</v>
      </c>
      <c r="D22" s="20">
        <v>123.61</v>
      </c>
      <c r="E22" s="21">
        <v>121.36</v>
      </c>
      <c r="F22" s="21">
        <v>121.36</v>
      </c>
      <c r="G22" s="21">
        <v>121.36</v>
      </c>
      <c r="H22" s="21">
        <v>121.36</v>
      </c>
      <c r="I22" s="21">
        <v>121.36</v>
      </c>
      <c r="J22" s="21">
        <v>121.36</v>
      </c>
      <c r="K22" s="23">
        <f t="shared" ref="K22:K31" si="13">SUM(E22:J22)</f>
        <v>728.16</v>
      </c>
      <c r="L22" s="20"/>
      <c r="M22" s="21">
        <v>121.36</v>
      </c>
      <c r="N22" s="21">
        <v>121.36</v>
      </c>
      <c r="O22" s="21">
        <v>121.36</v>
      </c>
      <c r="P22" s="21">
        <v>123.61</v>
      </c>
      <c r="Q22" s="21">
        <v>123.61</v>
      </c>
      <c r="R22" s="21">
        <v>123.61</v>
      </c>
      <c r="S22" s="23">
        <f t="shared" ref="S22:S27" si="14">SUM(M22:R22)</f>
        <v>734.91</v>
      </c>
      <c r="T22" s="23"/>
      <c r="U22" s="23">
        <f t="shared" ref="U22:U31" si="15">K22+S22</f>
        <v>1463.07</v>
      </c>
      <c r="W22" s="22">
        <f t="shared" ref="W22:W29" si="16">IFERROR(E22/$D22,0)</f>
        <v>0.98179758919181292</v>
      </c>
      <c r="X22" s="22">
        <f t="shared" ref="X22:X29" si="17">IFERROR(F22/$D22,0)</f>
        <v>0.98179758919181292</v>
      </c>
      <c r="Y22" s="22">
        <f t="shared" ref="Y22:Y29" si="18">IFERROR(G22/$D22,0)</f>
        <v>0.98179758919181292</v>
      </c>
      <c r="Z22" s="22">
        <f t="shared" ref="Z22:Z29" si="19">IFERROR(H22/$D22,0)</f>
        <v>0.98179758919181292</v>
      </c>
      <c r="AA22" s="22">
        <f t="shared" ref="AA22:AA29" si="20">IFERROR(I22/$D22,0)</f>
        <v>0.98179758919181292</v>
      </c>
      <c r="AB22" s="22">
        <f t="shared" ref="AB22:AB29" si="21">IFERROR(J22/$D22,0)</f>
        <v>0.98179758919181292</v>
      </c>
      <c r="AC22" s="22">
        <f t="shared" ref="AC22:AC29" si="22">IFERROR(M22/$D22,0)</f>
        <v>0.98179758919181292</v>
      </c>
      <c r="AD22" s="22">
        <f t="shared" ref="AD22:AD29" si="23">IFERROR(N22/$D22,0)</f>
        <v>0.98179758919181292</v>
      </c>
      <c r="AE22" s="22">
        <f t="shared" ref="AE22:AE29" si="24">IFERROR(O22/$D22,0)</f>
        <v>0.98179758919181292</v>
      </c>
      <c r="AF22" s="22">
        <f t="shared" ref="AF22:AF29" si="25">IFERROR(P22/$D22,0)</f>
        <v>1</v>
      </c>
      <c r="AG22" s="22">
        <f t="shared" ref="AG22:AG29" si="26">IFERROR(Q22/$D22,0)</f>
        <v>1</v>
      </c>
      <c r="AH22" s="22">
        <f t="shared" ref="AH22:AH29" si="27">IFERROR(R22/$D22,0)</f>
        <v>1</v>
      </c>
      <c r="AI22" s="82">
        <f t="shared" ref="AI22:AI28" si="28">SUM(W22:AH22)/12</f>
        <v>0.9863481918938598</v>
      </c>
      <c r="AJ22" s="89">
        <f>+AI22</f>
        <v>0.9863481918938598</v>
      </c>
      <c r="AK22" s="89">
        <f t="shared" ref="AK22:AK29" si="29">SUM(W22:AH22)</f>
        <v>11.836178302726317</v>
      </c>
    </row>
    <row r="23" spans="1:37" s="4" customFormat="1" ht="12" customHeight="1">
      <c r="A23" s="4" t="str">
        <f t="shared" si="12"/>
        <v>SPANGLECOMMERCIALRL002.0Y1W001</v>
      </c>
      <c r="B23" s="5" t="s">
        <v>73</v>
      </c>
      <c r="C23" s="5" t="s">
        <v>74</v>
      </c>
      <c r="D23" s="20">
        <v>164.81</v>
      </c>
      <c r="E23" s="21">
        <v>485.46</v>
      </c>
      <c r="F23" s="21">
        <v>485.46</v>
      </c>
      <c r="G23" s="21">
        <v>485.46</v>
      </c>
      <c r="H23" s="21">
        <v>485.46</v>
      </c>
      <c r="I23" s="21">
        <v>485.46</v>
      </c>
      <c r="J23" s="21">
        <v>485.46</v>
      </c>
      <c r="K23" s="23">
        <f t="shared" si="13"/>
        <v>2912.7599999999998</v>
      </c>
      <c r="L23" s="20"/>
      <c r="M23" s="21">
        <v>485.46</v>
      </c>
      <c r="N23" s="21">
        <v>485.46</v>
      </c>
      <c r="O23" s="21">
        <v>485.46</v>
      </c>
      <c r="P23" s="21">
        <v>494.43</v>
      </c>
      <c r="Q23" s="21">
        <v>494.43</v>
      </c>
      <c r="R23" s="21">
        <v>494.43</v>
      </c>
      <c r="S23" s="23">
        <f t="shared" si="14"/>
        <v>2939.6699999999996</v>
      </c>
      <c r="T23" s="23"/>
      <c r="U23" s="23">
        <f t="shared" si="15"/>
        <v>5852.4299999999994</v>
      </c>
      <c r="W23" s="22">
        <f t="shared" si="16"/>
        <v>2.9455736909168131</v>
      </c>
      <c r="X23" s="22">
        <f t="shared" si="17"/>
        <v>2.9455736909168131</v>
      </c>
      <c r="Y23" s="22">
        <f t="shared" si="18"/>
        <v>2.9455736909168131</v>
      </c>
      <c r="Z23" s="22">
        <f t="shared" si="19"/>
        <v>2.9455736909168131</v>
      </c>
      <c r="AA23" s="22">
        <f t="shared" si="20"/>
        <v>2.9455736909168131</v>
      </c>
      <c r="AB23" s="22">
        <f t="shared" si="21"/>
        <v>2.9455736909168131</v>
      </c>
      <c r="AC23" s="22">
        <f t="shared" si="22"/>
        <v>2.9455736909168131</v>
      </c>
      <c r="AD23" s="22">
        <f t="shared" si="23"/>
        <v>2.9455736909168131</v>
      </c>
      <c r="AE23" s="22">
        <f t="shared" si="24"/>
        <v>2.9455736909168131</v>
      </c>
      <c r="AF23" s="22">
        <f t="shared" si="25"/>
        <v>3</v>
      </c>
      <c r="AG23" s="22">
        <f t="shared" si="26"/>
        <v>3</v>
      </c>
      <c r="AH23" s="22">
        <f t="shared" si="27"/>
        <v>3</v>
      </c>
      <c r="AI23" s="82">
        <f t="shared" si="28"/>
        <v>2.9591802681876103</v>
      </c>
      <c r="AJ23" s="89">
        <f>+AI23</f>
        <v>2.9591802681876103</v>
      </c>
      <c r="AK23" s="89">
        <f t="shared" si="29"/>
        <v>35.510163218251321</v>
      </c>
    </row>
    <row r="24" spans="1:37" s="4" customFormat="1" ht="12" customHeight="1">
      <c r="A24" s="4" t="str">
        <f t="shared" si="12"/>
        <v>SPANGLECOMMERCIALRL006.0Y1W001</v>
      </c>
      <c r="B24" s="5" t="s">
        <v>83</v>
      </c>
      <c r="C24" s="5" t="s">
        <v>84</v>
      </c>
      <c r="D24" s="20">
        <v>376.49</v>
      </c>
      <c r="E24" s="21">
        <v>369.64</v>
      </c>
      <c r="F24" s="21">
        <v>369.64</v>
      </c>
      <c r="G24" s="21">
        <v>369.64</v>
      </c>
      <c r="H24" s="21">
        <v>369.64</v>
      </c>
      <c r="I24" s="21">
        <v>369.64</v>
      </c>
      <c r="J24" s="21">
        <v>369.64</v>
      </c>
      <c r="K24" s="23">
        <f t="shared" si="13"/>
        <v>2217.8399999999997</v>
      </c>
      <c r="L24" s="20"/>
      <c r="M24" s="21">
        <v>369.64</v>
      </c>
      <c r="N24" s="21">
        <v>369.64</v>
      </c>
      <c r="O24" s="21">
        <v>369.64</v>
      </c>
      <c r="P24" s="21">
        <v>376.49</v>
      </c>
      <c r="Q24" s="21">
        <v>376.49</v>
      </c>
      <c r="R24" s="21">
        <v>376.49</v>
      </c>
      <c r="S24" s="23">
        <f t="shared" si="14"/>
        <v>2238.3900000000003</v>
      </c>
      <c r="T24" s="23"/>
      <c r="U24" s="23">
        <f t="shared" si="15"/>
        <v>4456.2299999999996</v>
      </c>
      <c r="W24" s="22">
        <f t="shared" si="16"/>
        <v>0.98180562564742746</v>
      </c>
      <c r="X24" s="22">
        <f t="shared" si="17"/>
        <v>0.98180562564742746</v>
      </c>
      <c r="Y24" s="22">
        <f t="shared" si="18"/>
        <v>0.98180562564742746</v>
      </c>
      <c r="Z24" s="22">
        <f t="shared" si="19"/>
        <v>0.98180562564742746</v>
      </c>
      <c r="AA24" s="22">
        <f t="shared" si="20"/>
        <v>0.98180562564742746</v>
      </c>
      <c r="AB24" s="22">
        <f t="shared" si="21"/>
        <v>0.98180562564742746</v>
      </c>
      <c r="AC24" s="22">
        <f t="shared" si="22"/>
        <v>0.98180562564742746</v>
      </c>
      <c r="AD24" s="22">
        <f t="shared" si="23"/>
        <v>0.98180562564742746</v>
      </c>
      <c r="AE24" s="22">
        <f t="shared" si="24"/>
        <v>0.98180562564742746</v>
      </c>
      <c r="AF24" s="22">
        <f t="shared" si="25"/>
        <v>1</v>
      </c>
      <c r="AG24" s="22">
        <f t="shared" si="26"/>
        <v>1</v>
      </c>
      <c r="AH24" s="22">
        <f t="shared" si="27"/>
        <v>1</v>
      </c>
      <c r="AI24" s="82">
        <f t="shared" si="28"/>
        <v>0.98635421923557065</v>
      </c>
      <c r="AJ24" s="89">
        <f>+AI24</f>
        <v>0.98635421923557065</v>
      </c>
      <c r="AK24" s="89">
        <f t="shared" si="29"/>
        <v>11.836250630826848</v>
      </c>
    </row>
    <row r="25" spans="1:37" s="4" customFormat="1" ht="12" customHeight="1">
      <c r="A25" s="4" t="str">
        <f t="shared" si="12"/>
        <v>SPANGLECOMMERCIALRL090.0G1W001COMM</v>
      </c>
      <c r="B25" s="5" t="s">
        <v>93</v>
      </c>
      <c r="C25" s="5" t="s">
        <v>94</v>
      </c>
      <c r="D25" s="20">
        <v>22.9</v>
      </c>
      <c r="E25" s="21">
        <v>224.8</v>
      </c>
      <c r="F25" s="21">
        <v>224.8</v>
      </c>
      <c r="G25" s="21">
        <v>224.8</v>
      </c>
      <c r="H25" s="21">
        <v>224.8</v>
      </c>
      <c r="I25" s="21">
        <v>224.8</v>
      </c>
      <c r="J25" s="21">
        <v>224.8</v>
      </c>
      <c r="K25" s="23">
        <f t="shared" si="13"/>
        <v>1348.8</v>
      </c>
      <c r="L25" s="20"/>
      <c r="M25" s="21">
        <v>224.8</v>
      </c>
      <c r="N25" s="21">
        <v>224.8</v>
      </c>
      <c r="O25" s="21">
        <v>224.8</v>
      </c>
      <c r="P25" s="21">
        <v>229</v>
      </c>
      <c r="Q25" s="21">
        <v>229</v>
      </c>
      <c r="R25" s="21">
        <v>229</v>
      </c>
      <c r="S25" s="23">
        <f t="shared" si="14"/>
        <v>1361.4</v>
      </c>
      <c r="T25" s="23"/>
      <c r="U25" s="23">
        <f t="shared" si="15"/>
        <v>2710.2</v>
      </c>
      <c r="W25" s="22">
        <f t="shared" si="16"/>
        <v>9.8165938864628828</v>
      </c>
      <c r="X25" s="22">
        <f t="shared" si="17"/>
        <v>9.8165938864628828</v>
      </c>
      <c r="Y25" s="22">
        <f t="shared" si="18"/>
        <v>9.8165938864628828</v>
      </c>
      <c r="Z25" s="22">
        <f t="shared" si="19"/>
        <v>9.8165938864628828</v>
      </c>
      <c r="AA25" s="22">
        <f t="shared" si="20"/>
        <v>9.8165938864628828</v>
      </c>
      <c r="AB25" s="22">
        <f t="shared" si="21"/>
        <v>9.8165938864628828</v>
      </c>
      <c r="AC25" s="22">
        <f t="shared" si="22"/>
        <v>9.8165938864628828</v>
      </c>
      <c r="AD25" s="22">
        <f t="shared" si="23"/>
        <v>9.8165938864628828</v>
      </c>
      <c r="AE25" s="22">
        <f t="shared" si="24"/>
        <v>9.8165938864628828</v>
      </c>
      <c r="AF25" s="22">
        <f t="shared" si="25"/>
        <v>10</v>
      </c>
      <c r="AG25" s="22">
        <f t="shared" si="26"/>
        <v>10</v>
      </c>
      <c r="AH25" s="22">
        <f t="shared" si="27"/>
        <v>10</v>
      </c>
      <c r="AI25" s="82">
        <f t="shared" si="28"/>
        <v>9.8624454148471621</v>
      </c>
      <c r="AJ25" s="89">
        <f>+AI25</f>
        <v>9.8624454148471621</v>
      </c>
      <c r="AK25" s="89">
        <f t="shared" si="29"/>
        <v>118.34934497816595</v>
      </c>
    </row>
    <row r="26" spans="1:37" s="4" customFormat="1" ht="12" customHeight="1">
      <c r="A26" s="4" t="str">
        <f t="shared" si="12"/>
        <v>SPANGLECOMMERCIALRL090.0G1W002COMM</v>
      </c>
      <c r="B26" s="5" t="s">
        <v>95</v>
      </c>
      <c r="C26" s="5" t="s">
        <v>96</v>
      </c>
      <c r="D26" s="20">
        <v>44.82</v>
      </c>
      <c r="E26" s="21">
        <v>88.02</v>
      </c>
      <c r="F26" s="21">
        <v>88.02</v>
      </c>
      <c r="G26" s="21">
        <v>88.02</v>
      </c>
      <c r="H26" s="21">
        <v>88.02</v>
      </c>
      <c r="I26" s="21">
        <v>88.02</v>
      </c>
      <c r="J26" s="21">
        <v>88.02</v>
      </c>
      <c r="K26" s="23">
        <f t="shared" si="13"/>
        <v>528.12</v>
      </c>
      <c r="L26" s="20"/>
      <c r="M26" s="21">
        <v>88.02</v>
      </c>
      <c r="N26" s="21">
        <v>88.02</v>
      </c>
      <c r="O26" s="21">
        <v>88.02</v>
      </c>
      <c r="P26" s="21">
        <v>89.64</v>
      </c>
      <c r="Q26" s="21">
        <v>89.64</v>
      </c>
      <c r="R26" s="21">
        <v>89.64</v>
      </c>
      <c r="S26" s="23">
        <f t="shared" si="14"/>
        <v>532.98</v>
      </c>
      <c r="T26" s="23"/>
      <c r="U26" s="23">
        <f t="shared" si="15"/>
        <v>1061.0999999999999</v>
      </c>
      <c r="W26" s="22">
        <f t="shared" si="16"/>
        <v>1.963855421686747</v>
      </c>
      <c r="X26" s="22">
        <f t="shared" si="17"/>
        <v>1.963855421686747</v>
      </c>
      <c r="Y26" s="22">
        <f t="shared" si="18"/>
        <v>1.963855421686747</v>
      </c>
      <c r="Z26" s="22">
        <f t="shared" si="19"/>
        <v>1.963855421686747</v>
      </c>
      <c r="AA26" s="22">
        <f t="shared" si="20"/>
        <v>1.963855421686747</v>
      </c>
      <c r="AB26" s="22">
        <f t="shared" si="21"/>
        <v>1.963855421686747</v>
      </c>
      <c r="AC26" s="22">
        <f t="shared" si="22"/>
        <v>1.963855421686747</v>
      </c>
      <c r="AD26" s="22">
        <f t="shared" si="23"/>
        <v>1.963855421686747</v>
      </c>
      <c r="AE26" s="22">
        <f t="shared" si="24"/>
        <v>1.963855421686747</v>
      </c>
      <c r="AF26" s="22">
        <f t="shared" si="25"/>
        <v>2</v>
      </c>
      <c r="AG26" s="22">
        <f t="shared" si="26"/>
        <v>2</v>
      </c>
      <c r="AH26" s="22">
        <f t="shared" si="27"/>
        <v>2</v>
      </c>
      <c r="AI26" s="82">
        <f t="shared" si="28"/>
        <v>1.9728915662650601</v>
      </c>
      <c r="AJ26" s="89">
        <f>+AI26*2</f>
        <v>3.9457831325301203</v>
      </c>
      <c r="AK26" s="89">
        <f t="shared" si="29"/>
        <v>23.674698795180721</v>
      </c>
    </row>
    <row r="27" spans="1:37" s="4" customFormat="1" ht="12" customHeight="1">
      <c r="A27" s="4" t="str">
        <f t="shared" si="12"/>
        <v>SPANGLECOMMERCIALEXTRA-COMM</v>
      </c>
      <c r="B27" s="5" t="s">
        <v>111</v>
      </c>
      <c r="C27" s="5" t="s">
        <v>112</v>
      </c>
      <c r="D27" s="20">
        <v>4.49</v>
      </c>
      <c r="E27" s="21">
        <v>35.28</v>
      </c>
      <c r="F27" s="21">
        <v>70.56</v>
      </c>
      <c r="G27" s="21">
        <v>35.28</v>
      </c>
      <c r="H27" s="21">
        <v>30.87</v>
      </c>
      <c r="I27" s="21">
        <v>39.69</v>
      </c>
      <c r="J27" s="21">
        <v>39.69</v>
      </c>
      <c r="K27" s="23">
        <f t="shared" si="13"/>
        <v>251.37</v>
      </c>
      <c r="L27" s="20"/>
      <c r="M27" s="21">
        <v>4.41</v>
      </c>
      <c r="N27" s="21">
        <v>4.41</v>
      </c>
      <c r="O27" s="21">
        <v>17.64</v>
      </c>
      <c r="P27" s="21">
        <v>39.69</v>
      </c>
      <c r="Q27" s="21">
        <v>17.96</v>
      </c>
      <c r="R27" s="21">
        <v>13.47</v>
      </c>
      <c r="S27" s="23">
        <f t="shared" si="14"/>
        <v>97.580000000000013</v>
      </c>
      <c r="T27" s="23"/>
      <c r="U27" s="23">
        <f t="shared" si="15"/>
        <v>348.95000000000005</v>
      </c>
      <c r="W27" s="22">
        <f t="shared" si="16"/>
        <v>7.8574610244988863</v>
      </c>
      <c r="X27" s="22">
        <f t="shared" si="17"/>
        <v>15.714922048997773</v>
      </c>
      <c r="Y27" s="22">
        <f t="shared" si="18"/>
        <v>7.8574610244988863</v>
      </c>
      <c r="Z27" s="22">
        <f t="shared" si="19"/>
        <v>6.8752783964365252</v>
      </c>
      <c r="AA27" s="22">
        <f t="shared" si="20"/>
        <v>8.8396436525612465</v>
      </c>
      <c r="AB27" s="22">
        <f t="shared" si="21"/>
        <v>8.8396436525612465</v>
      </c>
      <c r="AC27" s="22">
        <f t="shared" si="22"/>
        <v>0.98218262806236079</v>
      </c>
      <c r="AD27" s="22">
        <f t="shared" si="23"/>
        <v>0.98218262806236079</v>
      </c>
      <c r="AE27" s="22">
        <f t="shared" si="24"/>
        <v>3.9287305122494431</v>
      </c>
      <c r="AF27" s="22">
        <f t="shared" si="25"/>
        <v>8.8396436525612465</v>
      </c>
      <c r="AG27" s="22">
        <f t="shared" si="26"/>
        <v>4</v>
      </c>
      <c r="AH27" s="22">
        <f t="shared" si="27"/>
        <v>3</v>
      </c>
      <c r="AI27" s="82">
        <f t="shared" si="28"/>
        <v>6.4764291017074989</v>
      </c>
      <c r="AJ27" s="89"/>
      <c r="AK27" s="89">
        <f t="shared" si="29"/>
        <v>77.717149220489986</v>
      </c>
    </row>
    <row r="28" spans="1:37" s="4" customFormat="1" ht="12" customHeight="1">
      <c r="A28" s="4" t="str">
        <f t="shared" si="12"/>
        <v>SPANGLECOMMERCIALRL4TC-COMM</v>
      </c>
      <c r="B28" s="5" t="s">
        <v>109</v>
      </c>
      <c r="C28" s="5" t="s">
        <v>110</v>
      </c>
      <c r="D28" s="20"/>
      <c r="E28" s="21">
        <v>0</v>
      </c>
      <c r="F28" s="21">
        <v>73.81</v>
      </c>
      <c r="G28" s="21">
        <v>0</v>
      </c>
      <c r="H28" s="21">
        <v>0</v>
      </c>
      <c r="I28" s="21">
        <v>0</v>
      </c>
      <c r="J28" s="21">
        <v>0</v>
      </c>
      <c r="K28" s="23">
        <f t="shared" si="13"/>
        <v>73.81</v>
      </c>
      <c r="L28" s="20"/>
      <c r="M28" s="21"/>
      <c r="N28" s="21"/>
      <c r="O28" s="21"/>
      <c r="P28" s="21"/>
      <c r="Q28" s="21"/>
      <c r="R28" s="21"/>
      <c r="S28" s="23"/>
      <c r="T28" s="23"/>
      <c r="U28" s="23">
        <f t="shared" si="15"/>
        <v>73.81</v>
      </c>
      <c r="W28" s="22">
        <f t="shared" si="16"/>
        <v>0</v>
      </c>
      <c r="X28" s="22">
        <f t="shared" si="17"/>
        <v>0</v>
      </c>
      <c r="Y28" s="22">
        <f t="shared" si="18"/>
        <v>0</v>
      </c>
      <c r="Z28" s="22">
        <f t="shared" si="19"/>
        <v>0</v>
      </c>
      <c r="AA28" s="22">
        <f t="shared" si="20"/>
        <v>0</v>
      </c>
      <c r="AB28" s="22">
        <f t="shared" si="21"/>
        <v>0</v>
      </c>
      <c r="AC28" s="22">
        <f t="shared" si="22"/>
        <v>0</v>
      </c>
      <c r="AD28" s="22">
        <f t="shared" si="23"/>
        <v>0</v>
      </c>
      <c r="AE28" s="22">
        <f t="shared" si="24"/>
        <v>0</v>
      </c>
      <c r="AF28" s="22">
        <f t="shared" si="25"/>
        <v>0</v>
      </c>
      <c r="AG28" s="22">
        <f t="shared" si="26"/>
        <v>0</v>
      </c>
      <c r="AH28" s="22">
        <f t="shared" si="27"/>
        <v>0</v>
      </c>
      <c r="AI28" s="82">
        <f t="shared" si="28"/>
        <v>0</v>
      </c>
      <c r="AJ28" s="89"/>
      <c r="AK28" s="89">
        <f t="shared" si="29"/>
        <v>0</v>
      </c>
    </row>
    <row r="29" spans="1:37" s="4" customFormat="1" ht="12" customHeight="1">
      <c r="A29" s="4" t="str">
        <f t="shared" si="12"/>
        <v>SPANGLECOMMERCIALEXTRAYDG-COMM</v>
      </c>
      <c r="B29" s="5" t="s">
        <v>113</v>
      </c>
      <c r="C29" s="5" t="s">
        <v>114</v>
      </c>
      <c r="D29" s="20">
        <v>27.13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3">
        <f t="shared" si="13"/>
        <v>0</v>
      </c>
      <c r="L29" s="20"/>
      <c r="M29" s="21">
        <v>0</v>
      </c>
      <c r="N29" s="21">
        <v>13.32</v>
      </c>
      <c r="O29" s="21">
        <v>13.32</v>
      </c>
      <c r="P29" s="21">
        <v>13.32</v>
      </c>
      <c r="Q29" s="21">
        <v>0</v>
      </c>
      <c r="R29" s="21">
        <v>0</v>
      </c>
      <c r="S29" s="23">
        <f t="shared" ref="S29:S31" si="30">SUM(M29:R29)</f>
        <v>39.96</v>
      </c>
      <c r="T29" s="23"/>
      <c r="U29" s="23">
        <f t="shared" si="15"/>
        <v>39.96</v>
      </c>
      <c r="W29" s="22">
        <f t="shared" si="16"/>
        <v>0</v>
      </c>
      <c r="X29" s="22">
        <f t="shared" si="17"/>
        <v>0</v>
      </c>
      <c r="Y29" s="22">
        <f t="shared" si="18"/>
        <v>0</v>
      </c>
      <c r="Z29" s="22">
        <f t="shared" si="19"/>
        <v>0</v>
      </c>
      <c r="AA29" s="22">
        <f t="shared" si="20"/>
        <v>0</v>
      </c>
      <c r="AB29" s="22">
        <f t="shared" si="21"/>
        <v>0</v>
      </c>
      <c r="AC29" s="22">
        <f t="shared" si="22"/>
        <v>0</v>
      </c>
      <c r="AD29" s="22">
        <f t="shared" si="23"/>
        <v>0.49096940656100263</v>
      </c>
      <c r="AE29" s="22">
        <f t="shared" si="24"/>
        <v>0.49096940656100263</v>
      </c>
      <c r="AF29" s="22">
        <f t="shared" si="25"/>
        <v>0.49096940656100263</v>
      </c>
      <c r="AG29" s="22">
        <f t="shared" si="26"/>
        <v>0</v>
      </c>
      <c r="AH29" s="22">
        <f t="shared" si="27"/>
        <v>0</v>
      </c>
      <c r="AI29" s="82">
        <f>SUM(W29:AH29)/12</f>
        <v>0.12274235164025066</v>
      </c>
      <c r="AJ29" s="89"/>
      <c r="AK29" s="89">
        <f t="shared" si="29"/>
        <v>1.4729082196830079</v>
      </c>
    </row>
    <row r="30" spans="1:37" s="4" customFormat="1" ht="12" customHeight="1">
      <c r="A30" s="4" t="str">
        <f t="shared" si="12"/>
        <v>SPANGLECOMMERCIALDELTEMP-COMM</v>
      </c>
      <c r="B30" s="5" t="s">
        <v>133</v>
      </c>
      <c r="C30" s="5" t="s">
        <v>134</v>
      </c>
      <c r="D30" s="20"/>
      <c r="E30" s="21">
        <v>0</v>
      </c>
      <c r="F30" s="21">
        <v>51.84</v>
      </c>
      <c r="G30" s="21">
        <v>0</v>
      </c>
      <c r="H30" s="21">
        <v>0</v>
      </c>
      <c r="I30" s="21">
        <v>0</v>
      </c>
      <c r="J30" s="21">
        <v>0</v>
      </c>
      <c r="K30" s="23">
        <f t="shared" si="13"/>
        <v>51.84</v>
      </c>
      <c r="L30" s="20"/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3">
        <f t="shared" si="30"/>
        <v>0</v>
      </c>
      <c r="T30" s="23"/>
      <c r="U30" s="23">
        <f t="shared" si="15"/>
        <v>51.84</v>
      </c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5"/>
    </row>
    <row r="31" spans="1:37" s="2" customFormat="1" ht="12" customHeight="1">
      <c r="A31" s="4" t="str">
        <f t="shared" si="12"/>
        <v>SPANGLECOMMERCIALADMINFEE-COMM</v>
      </c>
      <c r="B31" s="5" t="s">
        <v>279</v>
      </c>
      <c r="C31" s="5" t="s">
        <v>280</v>
      </c>
      <c r="D31" s="20"/>
      <c r="E31" s="21">
        <v>-787.05</v>
      </c>
      <c r="F31" s="21">
        <v>-801.8</v>
      </c>
      <c r="G31" s="21">
        <v>-805.45</v>
      </c>
      <c r="H31" s="21">
        <v>-786.94</v>
      </c>
      <c r="I31" s="21">
        <v>-777.11</v>
      </c>
      <c r="J31" s="21">
        <v>-775.79</v>
      </c>
      <c r="K31" s="23">
        <f t="shared" si="13"/>
        <v>-4734.1400000000003</v>
      </c>
      <c r="L31" s="20"/>
      <c r="M31" s="21">
        <v>-775.27</v>
      </c>
      <c r="N31" s="21">
        <v>-773.19</v>
      </c>
      <c r="O31" s="21">
        <v>-843.96</v>
      </c>
      <c r="P31" s="21">
        <v>-862.08</v>
      </c>
      <c r="Q31" s="21">
        <v>-802.91000000000008</v>
      </c>
      <c r="R31" s="21">
        <v>-805.55</v>
      </c>
      <c r="S31" s="23">
        <f t="shared" si="30"/>
        <v>-4862.96</v>
      </c>
      <c r="T31" s="23"/>
      <c r="U31" s="23">
        <f t="shared" si="15"/>
        <v>-9597.1</v>
      </c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</row>
    <row r="32" spans="1:37" s="4" customFormat="1" ht="12" customHeight="1" thickBot="1">
      <c r="B32" s="36"/>
      <c r="C32" s="36"/>
      <c r="D32" s="20"/>
      <c r="E32" s="22"/>
      <c r="F32" s="22"/>
      <c r="G32" s="22"/>
      <c r="H32" s="22"/>
      <c r="I32" s="22"/>
      <c r="J32" s="22"/>
      <c r="K32" s="23"/>
      <c r="L32" s="20"/>
      <c r="M32" s="22"/>
      <c r="N32" s="22"/>
      <c r="O32" s="22"/>
      <c r="P32" s="22"/>
      <c r="Q32" s="22"/>
      <c r="R32" s="22"/>
      <c r="S32" s="23"/>
      <c r="T32" s="23"/>
      <c r="U32" s="23"/>
      <c r="AI32" s="5"/>
    </row>
    <row r="33" spans="1:35" s="4" customFormat="1" ht="12" customHeight="1" thickBot="1">
      <c r="B33" s="36"/>
      <c r="C33" s="37" t="s">
        <v>13</v>
      </c>
      <c r="D33" s="20"/>
      <c r="E33" s="27">
        <f t="shared" ref="E33:K33" si="31">SUM(E22:E32)</f>
        <v>537.51</v>
      </c>
      <c r="F33" s="27">
        <f t="shared" si="31"/>
        <v>683.68999999999983</v>
      </c>
      <c r="G33" s="27">
        <f t="shared" si="31"/>
        <v>519.1099999999999</v>
      </c>
      <c r="H33" s="27">
        <f t="shared" si="31"/>
        <v>533.20999999999981</v>
      </c>
      <c r="I33" s="27">
        <f t="shared" si="31"/>
        <v>551.86</v>
      </c>
      <c r="J33" s="27">
        <f t="shared" si="31"/>
        <v>553.18000000000006</v>
      </c>
      <c r="K33" s="27">
        <f t="shared" si="31"/>
        <v>3378.5599999999995</v>
      </c>
      <c r="L33" s="20"/>
      <c r="M33" s="27">
        <f t="shared" ref="M33:S33" si="32">SUM(M22:M32)</f>
        <v>518.42000000000007</v>
      </c>
      <c r="N33" s="27">
        <f t="shared" si="32"/>
        <v>533.81999999999994</v>
      </c>
      <c r="O33" s="27">
        <f t="shared" si="32"/>
        <v>476.28</v>
      </c>
      <c r="P33" s="27">
        <f t="shared" si="32"/>
        <v>504.1</v>
      </c>
      <c r="Q33" s="27">
        <f t="shared" si="32"/>
        <v>528.22</v>
      </c>
      <c r="R33" s="27">
        <f t="shared" si="32"/>
        <v>521.09000000000015</v>
      </c>
      <c r="S33" s="27">
        <f t="shared" si="32"/>
        <v>3081.9299999999985</v>
      </c>
      <c r="T33" s="43"/>
      <c r="U33" s="27">
        <f>SUM(U22:U32)</f>
        <v>6460.49</v>
      </c>
      <c r="AI33" s="84">
        <f>SUM(AI22:AI26)</f>
        <v>16.767219660429262</v>
      </c>
    </row>
    <row r="34" spans="1:35" ht="12" customHeight="1">
      <c r="B34" s="2"/>
      <c r="C34" s="2"/>
    </row>
    <row r="35" spans="1:35" ht="12" customHeight="1">
      <c r="B35" s="33" t="s">
        <v>16</v>
      </c>
      <c r="C35" s="33" t="s">
        <v>16</v>
      </c>
    </row>
    <row r="36" spans="1:35" ht="12" customHeight="1">
      <c r="B36" s="41"/>
      <c r="C36" s="41"/>
    </row>
    <row r="37" spans="1:35" ht="12" customHeight="1">
      <c r="B37" s="42" t="s">
        <v>17</v>
      </c>
      <c r="C37" s="42" t="s">
        <v>17</v>
      </c>
    </row>
    <row r="38" spans="1:35" ht="12" customHeight="1">
      <c r="A38" s="4" t="str">
        <f t="shared" ref="A38:A42" si="33">"SPANGLE"&amp;"ROLL OFF"&amp;B38</f>
        <v>SPANGLEROLL OFFHAUL25TEMP-RO</v>
      </c>
      <c r="B38" s="5" t="s">
        <v>141</v>
      </c>
      <c r="C38" s="5" t="s">
        <v>142</v>
      </c>
      <c r="D38" s="20"/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3">
        <f t="shared" ref="K38:K42" si="34">SUM(E38:J38)</f>
        <v>0</v>
      </c>
      <c r="M38" s="21">
        <v>0</v>
      </c>
      <c r="N38" s="21">
        <v>0</v>
      </c>
      <c r="O38" s="21">
        <v>227.87</v>
      </c>
      <c r="P38" s="21">
        <v>0</v>
      </c>
      <c r="Q38" s="21">
        <v>0</v>
      </c>
      <c r="R38" s="21">
        <v>0</v>
      </c>
      <c r="S38" s="23">
        <f t="shared" ref="S38:S42" si="35">SUM(M38:R38)</f>
        <v>227.87</v>
      </c>
      <c r="T38" s="23"/>
      <c r="U38" s="23">
        <f t="shared" ref="U38:U42" si="36">K38+S38</f>
        <v>227.87</v>
      </c>
      <c r="W38" s="22">
        <f t="shared" ref="W38:AB38" si="37">IFERROR(M38/$D38,0)</f>
        <v>0</v>
      </c>
      <c r="X38" s="22">
        <f t="shared" si="37"/>
        <v>0</v>
      </c>
      <c r="Y38" s="22">
        <f t="shared" si="37"/>
        <v>0</v>
      </c>
      <c r="Z38" s="22">
        <f t="shared" si="37"/>
        <v>0</v>
      </c>
      <c r="AA38" s="22">
        <f t="shared" si="37"/>
        <v>0</v>
      </c>
      <c r="AB38" s="22">
        <f t="shared" si="37"/>
        <v>0</v>
      </c>
      <c r="AC38" s="22">
        <f>IFERROR(#REF!/$D38,0)</f>
        <v>0</v>
      </c>
      <c r="AD38" s="22">
        <f>IFERROR(#REF!/$D38,0)</f>
        <v>0</v>
      </c>
      <c r="AE38" s="22">
        <f>IFERROR(#REF!/$D38,0)</f>
        <v>0</v>
      </c>
      <c r="AF38" s="22">
        <f>IFERROR(#REF!/$D38,0)</f>
        <v>0</v>
      </c>
      <c r="AG38" s="22"/>
      <c r="AH38" s="22"/>
      <c r="AI38" s="82">
        <f>SUM(W38:AF38)/12</f>
        <v>0</v>
      </c>
    </row>
    <row r="39" spans="1:35" ht="12" customHeight="1">
      <c r="A39" s="4" t="str">
        <f t="shared" si="33"/>
        <v>SPANGLEROLL OFFRENT25MO-RO</v>
      </c>
      <c r="B39" s="5" t="s">
        <v>147</v>
      </c>
      <c r="C39" s="5" t="s">
        <v>148</v>
      </c>
      <c r="D39" s="20"/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3">
        <f t="shared" si="34"/>
        <v>0</v>
      </c>
      <c r="M39" s="21">
        <v>0</v>
      </c>
      <c r="N39" s="21">
        <v>0</v>
      </c>
      <c r="O39" s="21">
        <v>58.99</v>
      </c>
      <c r="P39" s="21">
        <v>0</v>
      </c>
      <c r="Q39" s="21">
        <v>0</v>
      </c>
      <c r="R39" s="21">
        <v>0</v>
      </c>
      <c r="S39" s="23">
        <f t="shared" si="35"/>
        <v>58.99</v>
      </c>
      <c r="T39" s="23"/>
      <c r="U39" s="23">
        <f t="shared" si="36"/>
        <v>58.99</v>
      </c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</row>
    <row r="40" spans="1:35" ht="12" customHeight="1">
      <c r="A40" s="4" t="str">
        <f t="shared" si="33"/>
        <v>SPANGLEROLL OFFRENT40MO-RO</v>
      </c>
      <c r="B40" s="5" t="s">
        <v>149</v>
      </c>
      <c r="C40" s="5" t="s">
        <v>150</v>
      </c>
      <c r="D40" s="20"/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3">
        <f t="shared" si="34"/>
        <v>0</v>
      </c>
      <c r="M40" s="21">
        <v>0</v>
      </c>
      <c r="N40" s="21">
        <v>0</v>
      </c>
      <c r="O40" s="21">
        <v>0</v>
      </c>
      <c r="P40" s="21">
        <v>68.17</v>
      </c>
      <c r="Q40" s="21">
        <v>0</v>
      </c>
      <c r="R40" s="21">
        <v>0</v>
      </c>
      <c r="S40" s="23">
        <f t="shared" si="35"/>
        <v>68.17</v>
      </c>
      <c r="T40" s="23"/>
      <c r="U40" s="23">
        <f t="shared" si="36"/>
        <v>68.17</v>
      </c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</row>
    <row r="41" spans="1:35" ht="12" customHeight="1">
      <c r="A41" s="4" t="str">
        <f t="shared" si="33"/>
        <v>SPANGLEROLL OFFDEL-RO</v>
      </c>
      <c r="B41" s="5" t="s">
        <v>151</v>
      </c>
      <c r="C41" s="5" t="s">
        <v>152</v>
      </c>
      <c r="D41" s="20"/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3">
        <f t="shared" si="34"/>
        <v>0</v>
      </c>
      <c r="M41" s="21">
        <v>0</v>
      </c>
      <c r="N41" s="21">
        <v>0</v>
      </c>
      <c r="O41" s="21">
        <v>72.55</v>
      </c>
      <c r="P41" s="21">
        <v>0</v>
      </c>
      <c r="Q41" s="21">
        <v>0</v>
      </c>
      <c r="R41" s="21">
        <v>0</v>
      </c>
      <c r="S41" s="23">
        <f t="shared" si="35"/>
        <v>72.55</v>
      </c>
      <c r="T41" s="23"/>
      <c r="U41" s="23">
        <f t="shared" si="36"/>
        <v>72.55</v>
      </c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</row>
    <row r="42" spans="1:35" ht="12" customHeight="1">
      <c r="A42" s="4" t="str">
        <f t="shared" si="33"/>
        <v>SPANGLEROLL OFFMILE-RO</v>
      </c>
      <c r="B42" s="5" t="s">
        <v>153</v>
      </c>
      <c r="C42" s="5" t="s">
        <v>154</v>
      </c>
      <c r="D42" s="20"/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3">
        <f t="shared" si="34"/>
        <v>0</v>
      </c>
      <c r="M42" s="21">
        <v>0</v>
      </c>
      <c r="N42" s="21">
        <v>0</v>
      </c>
      <c r="O42" s="21">
        <v>115.72</v>
      </c>
      <c r="P42" s="21">
        <v>0</v>
      </c>
      <c r="Q42" s="21">
        <v>0</v>
      </c>
      <c r="R42" s="21">
        <v>0</v>
      </c>
      <c r="S42" s="23">
        <f t="shared" si="35"/>
        <v>115.72</v>
      </c>
      <c r="T42" s="23"/>
      <c r="U42" s="23">
        <f t="shared" si="36"/>
        <v>115.72</v>
      </c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</row>
    <row r="43" spans="1:35" ht="12" customHeight="1" thickBot="1">
      <c r="B43" s="25"/>
      <c r="C43" s="25"/>
    </row>
    <row r="44" spans="1:35" ht="12" customHeight="1" thickBot="1">
      <c r="B44" s="25"/>
      <c r="C44" s="40" t="s">
        <v>18</v>
      </c>
      <c r="E44" s="27">
        <f t="shared" ref="E44:K44" si="38">SUM(E38:E43)</f>
        <v>0</v>
      </c>
      <c r="F44" s="27">
        <f t="shared" si="38"/>
        <v>0</v>
      </c>
      <c r="G44" s="27">
        <f t="shared" si="38"/>
        <v>0</v>
      </c>
      <c r="H44" s="27">
        <f t="shared" si="38"/>
        <v>0</v>
      </c>
      <c r="I44" s="27">
        <f t="shared" si="38"/>
        <v>0</v>
      </c>
      <c r="J44" s="27">
        <f t="shared" si="38"/>
        <v>0</v>
      </c>
      <c r="K44" s="27">
        <f t="shared" si="38"/>
        <v>0</v>
      </c>
      <c r="M44" s="27">
        <f t="shared" ref="M44:S44" si="39">SUM(M38:M43)</f>
        <v>0</v>
      </c>
      <c r="N44" s="27">
        <f t="shared" si="39"/>
        <v>0</v>
      </c>
      <c r="O44" s="27">
        <f t="shared" si="39"/>
        <v>475.13</v>
      </c>
      <c r="P44" s="27">
        <f t="shared" si="39"/>
        <v>68.17</v>
      </c>
      <c r="Q44" s="27">
        <f t="shared" si="39"/>
        <v>0</v>
      </c>
      <c r="R44" s="27">
        <f t="shared" si="39"/>
        <v>0</v>
      </c>
      <c r="S44" s="27">
        <f t="shared" si="39"/>
        <v>543.30000000000007</v>
      </c>
      <c r="T44" s="43"/>
      <c r="U44" s="27">
        <f>SUM(U38:U43)</f>
        <v>543.30000000000007</v>
      </c>
      <c r="AI44" s="84">
        <f>SUM(AI38:AI43)</f>
        <v>0</v>
      </c>
    </row>
    <row r="45" spans="1:35" ht="12" customHeight="1">
      <c r="B45" s="25"/>
      <c r="C45" s="25"/>
    </row>
    <row r="46" spans="1:35" ht="12" customHeight="1">
      <c r="B46" s="42" t="s">
        <v>21</v>
      </c>
      <c r="C46" s="42" t="s">
        <v>21</v>
      </c>
    </row>
    <row r="47" spans="1:35" ht="12" customHeight="1">
      <c r="A47" s="4" t="str">
        <f t="shared" ref="A47" si="40">"SPANGLE"&amp;"ROLL OFF"&amp;B47</f>
        <v>SPANGLEROLL OFFDISP-RO</v>
      </c>
      <c r="B47" s="16" t="s">
        <v>157</v>
      </c>
      <c r="C47" s="16" t="s">
        <v>158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3">
        <f>SUM(E47:J47)</f>
        <v>0</v>
      </c>
      <c r="M47" s="21">
        <v>0</v>
      </c>
      <c r="N47" s="21">
        <v>0</v>
      </c>
      <c r="O47" s="21">
        <v>182.27</v>
      </c>
      <c r="P47" s="21">
        <v>0</v>
      </c>
      <c r="Q47" s="21">
        <v>0</v>
      </c>
      <c r="R47" s="21">
        <v>0</v>
      </c>
      <c r="S47" s="23">
        <f>SUM(M47:R47)</f>
        <v>182.27</v>
      </c>
      <c r="T47" s="23"/>
      <c r="U47" s="23">
        <f t="shared" ref="U47" si="41">K47+S47</f>
        <v>182.27</v>
      </c>
    </row>
    <row r="48" spans="1:35" ht="12" customHeight="1">
      <c r="K48" s="39"/>
      <c r="S48" s="39"/>
      <c r="T48" s="39"/>
      <c r="U48" s="39"/>
    </row>
    <row r="49" spans="1:35" ht="12" customHeight="1">
      <c r="B49" s="25"/>
      <c r="C49" s="40" t="s">
        <v>22</v>
      </c>
      <c r="E49" s="27">
        <f t="shared" ref="E49:K49" si="42">SUM(E47:E48)</f>
        <v>0</v>
      </c>
      <c r="F49" s="27">
        <f t="shared" si="42"/>
        <v>0</v>
      </c>
      <c r="G49" s="27">
        <f t="shared" si="42"/>
        <v>0</v>
      </c>
      <c r="H49" s="27">
        <f t="shared" si="42"/>
        <v>0</v>
      </c>
      <c r="I49" s="27">
        <f t="shared" si="42"/>
        <v>0</v>
      </c>
      <c r="J49" s="27">
        <f t="shared" si="42"/>
        <v>0</v>
      </c>
      <c r="K49" s="27">
        <f t="shared" si="42"/>
        <v>0</v>
      </c>
      <c r="M49" s="27">
        <f t="shared" ref="M49:U49" si="43">SUM(M47:M48)</f>
        <v>0</v>
      </c>
      <c r="N49" s="27">
        <f t="shared" si="43"/>
        <v>0</v>
      </c>
      <c r="O49" s="27">
        <f t="shared" si="43"/>
        <v>182.27</v>
      </c>
      <c r="P49" s="27">
        <f t="shared" si="43"/>
        <v>0</v>
      </c>
      <c r="Q49" s="27">
        <f t="shared" si="43"/>
        <v>0</v>
      </c>
      <c r="R49" s="27">
        <f t="shared" si="43"/>
        <v>0</v>
      </c>
      <c r="S49" s="27">
        <f t="shared" si="43"/>
        <v>182.27</v>
      </c>
      <c r="T49" s="43"/>
      <c r="U49" s="27">
        <f t="shared" si="43"/>
        <v>182.27</v>
      </c>
    </row>
    <row r="50" spans="1:35" ht="12" customHeight="1">
      <c r="B50" s="25"/>
      <c r="C50" s="40"/>
      <c r="E50" s="43"/>
      <c r="F50" s="43"/>
      <c r="G50" s="43"/>
      <c r="H50" s="43"/>
      <c r="I50" s="43"/>
      <c r="J50" s="43"/>
      <c r="K50" s="43"/>
      <c r="M50" s="43"/>
      <c r="N50" s="43"/>
      <c r="O50" s="43"/>
      <c r="P50" s="43"/>
      <c r="Q50" s="43"/>
      <c r="R50" s="43"/>
      <c r="S50" s="43"/>
      <c r="T50" s="43"/>
      <c r="U50" s="43"/>
    </row>
    <row r="51" spans="1:35" s="4" customFormat="1" ht="12" customHeight="1">
      <c r="B51" s="28" t="s">
        <v>23</v>
      </c>
      <c r="C51" s="28" t="s">
        <v>23</v>
      </c>
      <c r="D51" s="20"/>
      <c r="K51" s="23"/>
      <c r="L51" s="20"/>
      <c r="S51" s="23"/>
      <c r="T51" s="23"/>
      <c r="U51" s="23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5"/>
    </row>
    <row r="52" spans="1:35" s="4" customFormat="1" ht="12" customHeight="1">
      <c r="A52" s="4" t="str">
        <f>"SPANGLE"&amp;"ACCOUNTING"&amp;B52</f>
        <v>SPANGLEACCOUNTINGFINCHG</v>
      </c>
      <c r="B52" s="5" t="s">
        <v>24</v>
      </c>
      <c r="C52" s="5" t="s">
        <v>25</v>
      </c>
      <c r="D52" s="20"/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3">
        <f t="shared" ref="K52:K53" si="44">SUM(E52:J52)</f>
        <v>0</v>
      </c>
      <c r="L52" s="20"/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3">
        <f>SUM(M52:R52)</f>
        <v>0</v>
      </c>
      <c r="T52" s="23"/>
      <c r="U52" s="23">
        <f t="shared" ref="U52:U53" si="45">K52+S52</f>
        <v>0</v>
      </c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5"/>
    </row>
    <row r="53" spans="1:35" s="4" customFormat="1" ht="12" customHeight="1">
      <c r="A53" s="4" t="str">
        <f>"SPANGLE"&amp;"ACCOUNTING"&amp;B53</f>
        <v>SPANGLEACCOUNTINGRETCKC</v>
      </c>
      <c r="B53" s="5" t="s">
        <v>159</v>
      </c>
      <c r="C53" s="5" t="s">
        <v>160</v>
      </c>
      <c r="D53" s="20"/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3">
        <f t="shared" si="44"/>
        <v>0</v>
      </c>
      <c r="L53" s="20"/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3">
        <f>SUM(M53:R53)</f>
        <v>0</v>
      </c>
      <c r="T53" s="23"/>
      <c r="U53" s="23">
        <f t="shared" si="45"/>
        <v>0</v>
      </c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5"/>
    </row>
    <row r="54" spans="1:35" s="4" customFormat="1" ht="12" customHeight="1">
      <c r="B54" s="24"/>
      <c r="C54" s="24"/>
      <c r="D54" s="20"/>
      <c r="K54" s="23"/>
      <c r="L54" s="20"/>
      <c r="S54" s="23"/>
      <c r="T54" s="23"/>
      <c r="U54" s="23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5"/>
    </row>
    <row r="55" spans="1:35" s="4" customFormat="1" ht="12" customHeight="1">
      <c r="B55" s="32"/>
      <c r="C55" s="26" t="s">
        <v>26</v>
      </c>
      <c r="D55" s="20"/>
      <c r="E55" s="27">
        <f t="shared" ref="E55:J55" si="46">SUM(E52:E53)</f>
        <v>0</v>
      </c>
      <c r="F55" s="27">
        <f t="shared" si="46"/>
        <v>0</v>
      </c>
      <c r="G55" s="27">
        <f t="shared" si="46"/>
        <v>0</v>
      </c>
      <c r="H55" s="27">
        <f t="shared" si="46"/>
        <v>0</v>
      </c>
      <c r="I55" s="27">
        <f t="shared" si="46"/>
        <v>0</v>
      </c>
      <c r="J55" s="27">
        <f t="shared" si="46"/>
        <v>0</v>
      </c>
      <c r="K55" s="27">
        <f>SUM(K52:K53)</f>
        <v>0</v>
      </c>
      <c r="L55" s="20"/>
      <c r="M55" s="27">
        <f t="shared" ref="M55:R55" si="47">SUM(M52:M53)</f>
        <v>0</v>
      </c>
      <c r="N55" s="27">
        <f t="shared" si="47"/>
        <v>0</v>
      </c>
      <c r="O55" s="27">
        <f t="shared" si="47"/>
        <v>0</v>
      </c>
      <c r="P55" s="27">
        <f t="shared" si="47"/>
        <v>0</v>
      </c>
      <c r="Q55" s="27">
        <f t="shared" si="47"/>
        <v>0</v>
      </c>
      <c r="R55" s="27">
        <f t="shared" si="47"/>
        <v>0</v>
      </c>
      <c r="S55" s="27">
        <f>SUM(S52:S53)</f>
        <v>0</v>
      </c>
      <c r="T55" s="43"/>
      <c r="U55" s="27">
        <f>SUM(U52:U53)</f>
        <v>0</v>
      </c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5"/>
    </row>
    <row r="56" spans="1:35" ht="12" customHeight="1">
      <c r="B56" s="25"/>
      <c r="C56" s="40"/>
    </row>
    <row r="57" spans="1:35" ht="12" customHeight="1">
      <c r="B57" s="6"/>
      <c r="C57" s="37" t="s">
        <v>27</v>
      </c>
      <c r="E57" s="27">
        <f t="shared" ref="E57:K57" si="48">SUM(E17,E33,E44,E49,E55)</f>
        <v>3306.2300000000005</v>
      </c>
      <c r="F57" s="27">
        <f t="shared" si="48"/>
        <v>3319.13</v>
      </c>
      <c r="G57" s="27">
        <f t="shared" si="48"/>
        <v>3158.96</v>
      </c>
      <c r="H57" s="27">
        <f t="shared" si="48"/>
        <v>3118.0699999999997</v>
      </c>
      <c r="I57" s="27">
        <f t="shared" si="48"/>
        <v>3097.81</v>
      </c>
      <c r="J57" s="27">
        <f t="shared" si="48"/>
        <v>3115.99</v>
      </c>
      <c r="K57" s="27">
        <f t="shared" si="48"/>
        <v>19116.189999999999</v>
      </c>
      <c r="M57" s="27">
        <f t="shared" ref="M57:S57" si="49">SUM(M17,M33,M44,M49,M55)</f>
        <v>3085.64</v>
      </c>
      <c r="N57" s="27">
        <f t="shared" si="49"/>
        <v>3097.84</v>
      </c>
      <c r="O57" s="27">
        <f t="shared" si="49"/>
        <v>3724.5899999999997</v>
      </c>
      <c r="P57" s="27">
        <f t="shared" si="49"/>
        <v>3190.0899999999997</v>
      </c>
      <c r="Q57" s="27">
        <f t="shared" si="49"/>
        <v>3196.46</v>
      </c>
      <c r="R57" s="27">
        <f t="shared" si="49"/>
        <v>3273.08</v>
      </c>
      <c r="S57" s="27">
        <f t="shared" si="49"/>
        <v>19567.699999999997</v>
      </c>
      <c r="T57" s="43"/>
      <c r="U57" s="27">
        <f>SUM(U17,U33,U44,U49,U55)</f>
        <v>38683.889999999992</v>
      </c>
    </row>
    <row r="58" spans="1:35">
      <c r="B58" s="6"/>
      <c r="C58" s="6"/>
    </row>
    <row r="59" spans="1:35">
      <c r="E59" s="5">
        <v>3306.23</v>
      </c>
      <c r="F59" s="5">
        <v>3319.1299999999997</v>
      </c>
      <c r="G59" s="5">
        <v>3158.9599999999996</v>
      </c>
      <c r="H59" s="5">
        <v>3118.0699999999997</v>
      </c>
      <c r="I59" s="5">
        <v>3097.81</v>
      </c>
      <c r="J59" s="5">
        <v>3115.9900000000002</v>
      </c>
      <c r="M59" s="5">
        <v>3085.64</v>
      </c>
      <c r="N59" s="5">
        <v>3097.84</v>
      </c>
      <c r="O59" s="5">
        <v>3724.5899999999997</v>
      </c>
      <c r="P59" s="5">
        <v>3190.0899999999997</v>
      </c>
      <c r="Q59" s="5">
        <v>3196.4599999999996</v>
      </c>
      <c r="R59" s="5">
        <v>3273.08</v>
      </c>
      <c r="V59" s="5" t="s">
        <v>519</v>
      </c>
    </row>
    <row r="60" spans="1:35">
      <c r="E60" s="80">
        <f>E59-E57</f>
        <v>0</v>
      </c>
      <c r="F60" s="80">
        <f t="shared" ref="F60" si="50">F59-F57</f>
        <v>0</v>
      </c>
      <c r="G60" s="80">
        <f t="shared" ref="G60" si="51">G59-G57</f>
        <v>0</v>
      </c>
      <c r="H60" s="80">
        <f t="shared" ref="H60" si="52">H59-H57</f>
        <v>0</v>
      </c>
      <c r="I60" s="80">
        <f t="shared" ref="I60" si="53">I59-I57</f>
        <v>0</v>
      </c>
      <c r="J60" s="80">
        <f t="shared" ref="J60" si="54">J59-J57</f>
        <v>0</v>
      </c>
      <c r="M60" s="80">
        <f>M59-M57</f>
        <v>0</v>
      </c>
      <c r="N60" s="80">
        <f t="shared" ref="N60:R60" si="55">N59-N57</f>
        <v>0</v>
      </c>
      <c r="O60" s="80">
        <f t="shared" si="55"/>
        <v>0</v>
      </c>
      <c r="P60" s="80">
        <f t="shared" si="55"/>
        <v>0</v>
      </c>
      <c r="Q60" s="80">
        <f t="shared" si="55"/>
        <v>0</v>
      </c>
      <c r="R60" s="80">
        <f t="shared" si="55"/>
        <v>0</v>
      </c>
      <c r="V60" s="5" t="s">
        <v>517</v>
      </c>
    </row>
  </sheetData>
  <pageMargins left="0.7" right="0.7" top="0.75" bottom="0.75" header="0.3" footer="0.3"/>
  <pageSetup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  <pageSetUpPr fitToPage="1"/>
  </sheetPr>
  <dimension ref="A1:AN38"/>
  <sheetViews>
    <sheetView workbookViewId="0">
      <pane xSplit="3" ySplit="6" topLeftCell="D7" activePane="bottomRight" state="frozen"/>
      <selection activeCell="AF25" sqref="AF24:AF25"/>
      <selection pane="topRight" activeCell="AF25" sqref="AF24:AF25"/>
      <selection pane="bottomLeft" activeCell="AF25" sqref="AF24:AF25"/>
      <selection pane="bottomRight" activeCell="D7" sqref="D7"/>
    </sheetView>
  </sheetViews>
  <sheetFormatPr defaultRowHeight="12.75" outlineLevelCol="1"/>
  <cols>
    <col min="1" max="1" width="39.7109375" style="5" customWidth="1"/>
    <col min="2" max="2" width="22.7109375" style="16" customWidth="1"/>
    <col min="3" max="3" width="29.140625" style="16" bestFit="1" customWidth="1"/>
    <col min="4" max="4" width="9.42578125" style="5" customWidth="1"/>
    <col min="5" max="10" width="10" style="5" hidden="1" customWidth="1" outlineLevel="1"/>
    <col min="11" max="11" width="11" style="5" bestFit="1" customWidth="1" collapsed="1"/>
    <col min="12" max="12" width="2" style="5" customWidth="1"/>
    <col min="13" max="18" width="10" style="5" hidden="1" customWidth="1" outlineLevel="1"/>
    <col min="19" max="19" width="11" style="5" bestFit="1" customWidth="1" collapsed="1"/>
    <col min="20" max="20" width="3.7109375" style="5" customWidth="1"/>
    <col min="21" max="21" width="11" style="5" customWidth="1"/>
    <col min="22" max="22" width="9.140625" style="5"/>
    <col min="23" max="31" width="8" style="5" hidden="1" customWidth="1" outlineLevel="1"/>
    <col min="32" max="34" width="9.42578125" style="5" hidden="1" customWidth="1" outlineLevel="1"/>
    <col min="35" max="35" width="5.42578125" style="5" customWidth="1" collapsed="1"/>
    <col min="36" max="36" width="5.7109375" style="5" bestFit="1" customWidth="1"/>
    <col min="37" max="37" width="7.5703125" style="5" bestFit="1" customWidth="1"/>
    <col min="38" max="16384" width="9.140625" style="5"/>
  </cols>
  <sheetData>
    <row r="1" spans="1:40" ht="12" customHeight="1">
      <c r="B1" s="1" t="s">
        <v>28</v>
      </c>
      <c r="C1" s="2"/>
      <c r="D1" s="3"/>
      <c r="E1" s="4"/>
      <c r="F1" s="4"/>
      <c r="G1" s="4"/>
      <c r="H1" s="4"/>
      <c r="I1" s="4"/>
      <c r="J1" s="4"/>
      <c r="K1" s="4"/>
      <c r="L1" s="2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40" ht="12" customHeight="1">
      <c r="B2" s="1" t="s">
        <v>252</v>
      </c>
      <c r="C2" s="2"/>
      <c r="D2" s="100" t="s">
        <v>494</v>
      </c>
      <c r="F2" s="4"/>
      <c r="G2" s="4"/>
      <c r="H2" s="4"/>
      <c r="I2" s="4"/>
      <c r="J2" s="4"/>
      <c r="K2" s="4"/>
      <c r="L2" s="2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40" ht="12" customHeight="1">
      <c r="B3" s="6" t="str">
        <f>'Spangle Non-Reg - Price Out'!B3</f>
        <v>July 1, 2015 - June 30, 2016</v>
      </c>
      <c r="C3" s="2"/>
      <c r="D3" s="3"/>
      <c r="E3" s="7"/>
      <c r="F3" s="4"/>
      <c r="G3" s="4"/>
      <c r="H3" s="4"/>
      <c r="I3" s="4"/>
      <c r="J3" s="4"/>
      <c r="K3" s="4"/>
      <c r="L3" s="2"/>
      <c r="M3" s="7"/>
      <c r="N3" s="4"/>
      <c r="O3" s="4"/>
      <c r="P3" s="4"/>
      <c r="Q3" s="4"/>
      <c r="R3" s="4"/>
      <c r="S3" s="4"/>
      <c r="T3" s="2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40" ht="12" customHeight="1">
      <c r="B4" s="2"/>
      <c r="C4" s="8"/>
      <c r="D4" s="9" t="s">
        <v>558</v>
      </c>
      <c r="E4" s="103">
        <v>42186</v>
      </c>
      <c r="F4" s="103">
        <v>42217</v>
      </c>
      <c r="G4" s="103">
        <v>42248</v>
      </c>
      <c r="H4" s="103">
        <v>42278</v>
      </c>
      <c r="I4" s="103">
        <v>42309</v>
      </c>
      <c r="J4" s="103">
        <v>42339</v>
      </c>
      <c r="K4" s="104">
        <v>2015</v>
      </c>
      <c r="L4" s="2"/>
      <c r="M4" s="10">
        <v>42370</v>
      </c>
      <c r="N4" s="10">
        <v>42401</v>
      </c>
      <c r="O4" s="10">
        <v>42430</v>
      </c>
      <c r="P4" s="10">
        <v>42461</v>
      </c>
      <c r="Q4" s="10">
        <v>42491</v>
      </c>
      <c r="R4" s="10">
        <v>42522</v>
      </c>
      <c r="S4" s="11">
        <v>2016</v>
      </c>
      <c r="T4" s="8"/>
      <c r="U4" s="11" t="s">
        <v>0</v>
      </c>
      <c r="V4" s="4"/>
      <c r="W4" s="12">
        <v>42186</v>
      </c>
      <c r="X4" s="12">
        <v>42217</v>
      </c>
      <c r="Y4" s="12">
        <v>42248</v>
      </c>
      <c r="Z4" s="12">
        <v>42278</v>
      </c>
      <c r="AA4" s="12">
        <v>42309</v>
      </c>
      <c r="AB4" s="12">
        <v>42339</v>
      </c>
      <c r="AC4" s="12">
        <v>42370</v>
      </c>
      <c r="AD4" s="12">
        <v>42401</v>
      </c>
      <c r="AE4" s="12">
        <v>42430</v>
      </c>
      <c r="AF4" s="12">
        <v>42461</v>
      </c>
      <c r="AG4" s="12">
        <v>42491</v>
      </c>
      <c r="AH4" s="12">
        <v>42522</v>
      </c>
      <c r="AI4" s="12" t="s">
        <v>462</v>
      </c>
      <c r="AJ4" s="12" t="s">
        <v>490</v>
      </c>
      <c r="AK4" s="92" t="s">
        <v>492</v>
      </c>
    </row>
    <row r="5" spans="1:40" ht="12" customHeight="1">
      <c r="B5" s="13" t="s">
        <v>1</v>
      </c>
      <c r="C5" s="8" t="s">
        <v>2</v>
      </c>
      <c r="D5" s="14" t="s">
        <v>3</v>
      </c>
      <c r="E5" s="104" t="s">
        <v>4</v>
      </c>
      <c r="F5" s="104" t="s">
        <v>4</v>
      </c>
      <c r="G5" s="104" t="s">
        <v>4</v>
      </c>
      <c r="H5" s="104" t="s">
        <v>4</v>
      </c>
      <c r="I5" s="104" t="s">
        <v>4</v>
      </c>
      <c r="J5" s="104" t="s">
        <v>4</v>
      </c>
      <c r="K5" s="104" t="s">
        <v>4</v>
      </c>
      <c r="L5" s="8"/>
      <c r="M5" s="11" t="s">
        <v>4</v>
      </c>
      <c r="N5" s="11" t="s">
        <v>4</v>
      </c>
      <c r="O5" s="11" t="s">
        <v>4</v>
      </c>
      <c r="P5" s="11" t="s">
        <v>4</v>
      </c>
      <c r="Q5" s="11" t="s">
        <v>4</v>
      </c>
      <c r="R5" s="11" t="s">
        <v>4</v>
      </c>
      <c r="S5" s="11" t="s">
        <v>4</v>
      </c>
      <c r="T5" s="8"/>
      <c r="U5" s="11" t="s">
        <v>4</v>
      </c>
      <c r="V5" s="4"/>
      <c r="W5" s="15" t="s">
        <v>5</v>
      </c>
      <c r="X5" s="15" t="s">
        <v>5</v>
      </c>
      <c r="Y5" s="15" t="s">
        <v>5</v>
      </c>
      <c r="Z5" s="15" t="s">
        <v>5</v>
      </c>
      <c r="AA5" s="15" t="s">
        <v>5</v>
      </c>
      <c r="AB5" s="15" t="s">
        <v>5</v>
      </c>
      <c r="AC5" s="15" t="s">
        <v>5</v>
      </c>
      <c r="AD5" s="15" t="s">
        <v>5</v>
      </c>
      <c r="AE5" s="15" t="s">
        <v>5</v>
      </c>
      <c r="AF5" s="15" t="s">
        <v>5</v>
      </c>
      <c r="AG5" s="15" t="s">
        <v>5</v>
      </c>
      <c r="AH5" s="15" t="s">
        <v>5</v>
      </c>
      <c r="AI5" s="15" t="s">
        <v>491</v>
      </c>
      <c r="AJ5" s="15" t="s">
        <v>489</v>
      </c>
      <c r="AK5" s="93" t="s">
        <v>491</v>
      </c>
    </row>
    <row r="6" spans="1:40" ht="12" customHeight="1"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</row>
    <row r="7" spans="1:40" s="4" customFormat="1" ht="12" customHeight="1">
      <c r="C7" s="2"/>
      <c r="D7" s="3"/>
      <c r="L7" s="2"/>
      <c r="AI7" s="5"/>
    </row>
    <row r="8" spans="1:40" s="4" customFormat="1" ht="12" customHeight="1">
      <c r="D8" s="3"/>
      <c r="L8" s="17"/>
      <c r="AI8" s="5"/>
      <c r="AM8" s="4" t="s">
        <v>478</v>
      </c>
      <c r="AN8" s="89">
        <f>SUM(AJ12:AJ17,AJ27:AJ28)</f>
        <v>34.291666666666664</v>
      </c>
    </row>
    <row r="9" spans="1:40" s="4" customFormat="1" ht="12" customHeight="1">
      <c r="B9" s="18" t="s">
        <v>6</v>
      </c>
      <c r="C9" s="18" t="s">
        <v>6</v>
      </c>
      <c r="D9" s="3"/>
      <c r="L9" s="17"/>
      <c r="AI9" s="5"/>
      <c r="AM9" s="4" t="s">
        <v>479</v>
      </c>
      <c r="AN9" s="89">
        <f>SUM(AJ26:AJ26)</f>
        <v>1.4375</v>
      </c>
    </row>
    <row r="10" spans="1:40" s="4" customFormat="1" ht="12" customHeight="1">
      <c r="B10" s="18"/>
      <c r="C10" s="18"/>
      <c r="D10" s="3"/>
      <c r="L10" s="17"/>
      <c r="AI10" s="5"/>
    </row>
    <row r="11" spans="1:40" s="4" customFormat="1" ht="12" customHeight="1">
      <c r="B11" s="19" t="s">
        <v>7</v>
      </c>
      <c r="C11" s="19" t="s">
        <v>7</v>
      </c>
      <c r="D11" s="20"/>
      <c r="E11" s="22"/>
      <c r="F11" s="22"/>
      <c r="G11" s="22"/>
      <c r="H11" s="22"/>
      <c r="I11" s="22"/>
      <c r="J11" s="22"/>
      <c r="K11" s="23"/>
      <c r="L11" s="20"/>
      <c r="M11" s="22"/>
      <c r="N11" s="22"/>
      <c r="O11" s="22"/>
      <c r="P11" s="22"/>
      <c r="Q11" s="22"/>
      <c r="R11" s="22"/>
      <c r="S11" s="23"/>
      <c r="T11" s="23"/>
      <c r="U11" s="23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5"/>
    </row>
    <row r="12" spans="1:40" s="4" customFormat="1" ht="12" customHeight="1">
      <c r="A12" s="4" t="str">
        <f t="shared" ref="A12:A19" si="0">"STARBUCK"&amp;"RESIDENTIAL"&amp;B12</f>
        <v>STARBUCKRESIDENTIALRL032.0G1M001</v>
      </c>
      <c r="B12" s="5" t="s">
        <v>31</v>
      </c>
      <c r="C12" s="5" t="s">
        <v>32</v>
      </c>
      <c r="D12" s="20">
        <v>6.8</v>
      </c>
      <c r="E12" s="21">
        <v>108.8</v>
      </c>
      <c r="F12" s="21">
        <v>102</v>
      </c>
      <c r="G12" s="21">
        <v>68</v>
      </c>
      <c r="H12" s="21">
        <v>27.2</v>
      </c>
      <c r="I12" s="21">
        <v>20.399999999999999</v>
      </c>
      <c r="J12" s="21">
        <v>27.2</v>
      </c>
      <c r="K12" s="23">
        <f t="shared" ref="K12:K19" si="1">SUM(E12:J12)</f>
        <v>353.59999999999997</v>
      </c>
      <c r="L12" s="20"/>
      <c r="M12" s="21">
        <v>13.599999999999998</v>
      </c>
      <c r="N12" s="21">
        <v>20.399999999999999</v>
      </c>
      <c r="O12" s="21">
        <v>6.8</v>
      </c>
      <c r="P12" s="21">
        <v>13.6</v>
      </c>
      <c r="Q12" s="21">
        <v>13.6</v>
      </c>
      <c r="R12" s="21">
        <v>13.6</v>
      </c>
      <c r="S12" s="23">
        <f t="shared" ref="S12:S19" si="2">SUM(M12:R12)</f>
        <v>81.599999999999994</v>
      </c>
      <c r="T12" s="23"/>
      <c r="U12" s="23">
        <f t="shared" ref="U12:U19" si="3">K12+S12</f>
        <v>435.19999999999993</v>
      </c>
      <c r="W12" s="22">
        <f>IFERROR(E12/$D12,0)</f>
        <v>16</v>
      </c>
      <c r="X12" s="22">
        <f t="shared" ref="X12:AB19" si="4">IFERROR(F12/$D12,0)</f>
        <v>15</v>
      </c>
      <c r="Y12" s="22">
        <f t="shared" si="4"/>
        <v>10</v>
      </c>
      <c r="Z12" s="22">
        <f t="shared" si="4"/>
        <v>4</v>
      </c>
      <c r="AA12" s="22">
        <f t="shared" si="4"/>
        <v>3</v>
      </c>
      <c r="AB12" s="22">
        <f t="shared" si="4"/>
        <v>4</v>
      </c>
      <c r="AC12" s="22">
        <f>IFERROR(M12/$D12,0)</f>
        <v>1.9999999999999998</v>
      </c>
      <c r="AD12" s="22">
        <f t="shared" ref="AD12:AH19" si="5">IFERROR(N12/$D12,0)</f>
        <v>3</v>
      </c>
      <c r="AE12" s="22">
        <f t="shared" si="5"/>
        <v>1</v>
      </c>
      <c r="AF12" s="22">
        <f t="shared" si="5"/>
        <v>2</v>
      </c>
      <c r="AG12" s="22">
        <f t="shared" si="5"/>
        <v>2</v>
      </c>
      <c r="AH12" s="22">
        <f t="shared" si="5"/>
        <v>2</v>
      </c>
      <c r="AI12" s="82">
        <f>SUM(W12:AH12)/12</f>
        <v>5.333333333333333</v>
      </c>
      <c r="AJ12" s="89">
        <v>0</v>
      </c>
      <c r="AK12" s="89">
        <f>SUM(W12:AH12)</f>
        <v>64</v>
      </c>
    </row>
    <row r="13" spans="1:40" s="4" customFormat="1" ht="12" customHeight="1">
      <c r="A13" s="4" t="str">
        <f t="shared" si="0"/>
        <v>STARBUCKRESIDENTIALRL032.0G1W001</v>
      </c>
      <c r="B13" s="5" t="s">
        <v>33</v>
      </c>
      <c r="C13" s="5" t="s">
        <v>34</v>
      </c>
      <c r="D13" s="20">
        <v>11.59</v>
      </c>
      <c r="E13" s="21">
        <v>318.73</v>
      </c>
      <c r="F13" s="21">
        <v>336.11</v>
      </c>
      <c r="G13" s="21">
        <v>359.29</v>
      </c>
      <c r="H13" s="21">
        <v>347.7</v>
      </c>
      <c r="I13" s="21">
        <v>356.39000000000004</v>
      </c>
      <c r="J13" s="21">
        <v>312.93</v>
      </c>
      <c r="K13" s="23">
        <f t="shared" si="1"/>
        <v>2031.1500000000003</v>
      </c>
      <c r="L13" s="20"/>
      <c r="M13" s="21">
        <v>324.52</v>
      </c>
      <c r="N13" s="21">
        <v>312.93</v>
      </c>
      <c r="O13" s="21">
        <v>301.33999999999997</v>
      </c>
      <c r="P13" s="21">
        <v>324.52</v>
      </c>
      <c r="Q13" s="21">
        <v>324.52</v>
      </c>
      <c r="R13" s="21">
        <v>324.52</v>
      </c>
      <c r="S13" s="23">
        <f t="shared" si="2"/>
        <v>1912.35</v>
      </c>
      <c r="T13" s="23"/>
      <c r="U13" s="23">
        <f t="shared" si="3"/>
        <v>3943.5</v>
      </c>
      <c r="W13" s="22">
        <f t="shared" ref="W13:W19" si="6">IFERROR(E13/$D13,0)</f>
        <v>27.500431406384816</v>
      </c>
      <c r="X13" s="22">
        <f t="shared" si="4"/>
        <v>29</v>
      </c>
      <c r="Y13" s="22">
        <f t="shared" si="4"/>
        <v>31.000000000000004</v>
      </c>
      <c r="Z13" s="22">
        <f t="shared" si="4"/>
        <v>30</v>
      </c>
      <c r="AA13" s="22">
        <f t="shared" si="4"/>
        <v>30.749784296807597</v>
      </c>
      <c r="AB13" s="22">
        <f t="shared" si="4"/>
        <v>27</v>
      </c>
      <c r="AC13" s="22">
        <f t="shared" ref="AC13:AC19" si="7">IFERROR(M13/$D13,0)</f>
        <v>28</v>
      </c>
      <c r="AD13" s="22">
        <f t="shared" si="5"/>
        <v>27</v>
      </c>
      <c r="AE13" s="22">
        <f t="shared" si="5"/>
        <v>25.999999999999996</v>
      </c>
      <c r="AF13" s="22">
        <f t="shared" si="5"/>
        <v>28</v>
      </c>
      <c r="AG13" s="22">
        <f t="shared" si="5"/>
        <v>28</v>
      </c>
      <c r="AH13" s="22">
        <f t="shared" si="5"/>
        <v>28</v>
      </c>
      <c r="AI13" s="82">
        <f t="shared" ref="AI13:AI19" si="8">SUM(W13:AH13)/12</f>
        <v>28.354184641932701</v>
      </c>
      <c r="AJ13" s="89">
        <v>0</v>
      </c>
      <c r="AK13" s="89">
        <f t="shared" ref="AK13:AK19" si="9">SUM(W13:AH13)</f>
        <v>340.2502157031924</v>
      </c>
    </row>
    <row r="14" spans="1:40" s="4" customFormat="1" ht="12" customHeight="1">
      <c r="A14" s="4" t="str">
        <f t="shared" si="0"/>
        <v>STARBUCKRESIDENTIALRL032.0G1W002</v>
      </c>
      <c r="B14" s="5" t="s">
        <v>35</v>
      </c>
      <c r="C14" s="5" t="s">
        <v>36</v>
      </c>
      <c r="D14" s="20">
        <v>15.61</v>
      </c>
      <c r="E14" s="21">
        <v>15.61</v>
      </c>
      <c r="F14" s="21">
        <v>15.61</v>
      </c>
      <c r="G14" s="21">
        <v>15.61</v>
      </c>
      <c r="H14" s="21">
        <v>15.61</v>
      </c>
      <c r="I14" s="21">
        <v>15.61</v>
      </c>
      <c r="J14" s="21">
        <v>15.61</v>
      </c>
      <c r="K14" s="23">
        <f t="shared" si="1"/>
        <v>93.66</v>
      </c>
      <c r="L14" s="20"/>
      <c r="M14" s="21">
        <v>15.61</v>
      </c>
      <c r="N14" s="21">
        <v>15.61</v>
      </c>
      <c r="O14" s="21">
        <v>15.61</v>
      </c>
      <c r="P14" s="21">
        <v>15.61</v>
      </c>
      <c r="Q14" s="21">
        <v>15.61</v>
      </c>
      <c r="R14" s="21">
        <v>15.61</v>
      </c>
      <c r="S14" s="23">
        <f t="shared" si="2"/>
        <v>93.66</v>
      </c>
      <c r="T14" s="23"/>
      <c r="U14" s="23">
        <f t="shared" si="3"/>
        <v>187.32</v>
      </c>
      <c r="W14" s="22">
        <f t="shared" si="6"/>
        <v>1</v>
      </c>
      <c r="X14" s="22">
        <f t="shared" si="4"/>
        <v>1</v>
      </c>
      <c r="Y14" s="22">
        <f t="shared" si="4"/>
        <v>1</v>
      </c>
      <c r="Z14" s="22">
        <f t="shared" si="4"/>
        <v>1</v>
      </c>
      <c r="AA14" s="22">
        <f t="shared" si="4"/>
        <v>1</v>
      </c>
      <c r="AB14" s="22">
        <f t="shared" si="4"/>
        <v>1</v>
      </c>
      <c r="AC14" s="22">
        <f t="shared" si="7"/>
        <v>1</v>
      </c>
      <c r="AD14" s="22">
        <f t="shared" si="5"/>
        <v>1</v>
      </c>
      <c r="AE14" s="22">
        <f t="shared" si="5"/>
        <v>1</v>
      </c>
      <c r="AF14" s="22">
        <f t="shared" si="5"/>
        <v>1</v>
      </c>
      <c r="AG14" s="22">
        <f t="shared" si="5"/>
        <v>1</v>
      </c>
      <c r="AH14" s="22">
        <f t="shared" si="5"/>
        <v>1</v>
      </c>
      <c r="AI14" s="82">
        <f t="shared" si="8"/>
        <v>1</v>
      </c>
      <c r="AJ14" s="89">
        <v>0</v>
      </c>
      <c r="AK14" s="89">
        <f t="shared" si="9"/>
        <v>12</v>
      </c>
    </row>
    <row r="15" spans="1:40" s="4" customFormat="1" ht="12" customHeight="1">
      <c r="A15" s="4" t="str">
        <f t="shared" si="0"/>
        <v>STARBUCKRESIDENTIALRL065.0G1W001</v>
      </c>
      <c r="B15" s="5" t="s">
        <v>39</v>
      </c>
      <c r="C15" s="5" t="s">
        <v>40</v>
      </c>
      <c r="D15" s="20">
        <v>17.91</v>
      </c>
      <c r="E15" s="21">
        <v>107.46</v>
      </c>
      <c r="F15" s="21">
        <v>107.46</v>
      </c>
      <c r="G15" s="21">
        <v>107.46</v>
      </c>
      <c r="H15" s="21">
        <v>107.46</v>
      </c>
      <c r="I15" s="21">
        <v>107.46</v>
      </c>
      <c r="J15" s="21">
        <v>107.46</v>
      </c>
      <c r="K15" s="23">
        <f t="shared" si="1"/>
        <v>644.76</v>
      </c>
      <c r="L15" s="20"/>
      <c r="M15" s="21">
        <v>107.46</v>
      </c>
      <c r="N15" s="21">
        <v>107.46</v>
      </c>
      <c r="O15" s="21">
        <v>71.64</v>
      </c>
      <c r="P15" s="21">
        <v>89.55</v>
      </c>
      <c r="Q15" s="21">
        <v>89.55</v>
      </c>
      <c r="R15" s="21">
        <v>89.55</v>
      </c>
      <c r="S15" s="23">
        <f t="shared" si="2"/>
        <v>555.21</v>
      </c>
      <c r="T15" s="23"/>
      <c r="U15" s="23">
        <f t="shared" si="3"/>
        <v>1199.97</v>
      </c>
      <c r="W15" s="22">
        <f t="shared" si="6"/>
        <v>6</v>
      </c>
      <c r="X15" s="22">
        <f t="shared" si="4"/>
        <v>6</v>
      </c>
      <c r="Y15" s="22">
        <f t="shared" si="4"/>
        <v>6</v>
      </c>
      <c r="Z15" s="22">
        <f t="shared" si="4"/>
        <v>6</v>
      </c>
      <c r="AA15" s="22">
        <f t="shared" si="4"/>
        <v>6</v>
      </c>
      <c r="AB15" s="22">
        <f t="shared" si="4"/>
        <v>6</v>
      </c>
      <c r="AC15" s="22">
        <f t="shared" si="7"/>
        <v>6</v>
      </c>
      <c r="AD15" s="22">
        <f t="shared" si="5"/>
        <v>6</v>
      </c>
      <c r="AE15" s="22">
        <f t="shared" si="5"/>
        <v>4</v>
      </c>
      <c r="AF15" s="22">
        <f t="shared" si="5"/>
        <v>5</v>
      </c>
      <c r="AG15" s="22">
        <f t="shared" si="5"/>
        <v>5</v>
      </c>
      <c r="AH15" s="22">
        <f t="shared" si="5"/>
        <v>5</v>
      </c>
      <c r="AI15" s="82">
        <f t="shared" si="8"/>
        <v>5.583333333333333</v>
      </c>
      <c r="AJ15" s="89">
        <f>+AI15</f>
        <v>5.583333333333333</v>
      </c>
      <c r="AK15" s="89">
        <f t="shared" si="9"/>
        <v>67</v>
      </c>
    </row>
    <row r="16" spans="1:40" s="4" customFormat="1" ht="12" customHeight="1">
      <c r="A16" s="4" t="str">
        <f t="shared" si="0"/>
        <v>STARBUCKRESIDENTIALRL090.0G1W001</v>
      </c>
      <c r="B16" s="5" t="s">
        <v>43</v>
      </c>
      <c r="C16" s="5" t="s">
        <v>44</v>
      </c>
      <c r="D16" s="20">
        <v>19.760000000000002</v>
      </c>
      <c r="E16" s="21">
        <v>405.08</v>
      </c>
      <c r="F16" s="21">
        <v>395.2</v>
      </c>
      <c r="G16" s="21">
        <v>434.72</v>
      </c>
      <c r="H16" s="21">
        <v>454.48</v>
      </c>
      <c r="I16" s="21">
        <v>434.72</v>
      </c>
      <c r="J16" s="21">
        <v>414.96</v>
      </c>
      <c r="K16" s="23">
        <f t="shared" si="1"/>
        <v>2539.16</v>
      </c>
      <c r="L16" s="20"/>
      <c r="M16" s="21">
        <v>395.2</v>
      </c>
      <c r="N16" s="21">
        <v>395.2</v>
      </c>
      <c r="O16" s="21">
        <v>395.2</v>
      </c>
      <c r="P16" s="21">
        <v>395.2</v>
      </c>
      <c r="Q16" s="21">
        <v>395.2</v>
      </c>
      <c r="R16" s="21">
        <v>395.2</v>
      </c>
      <c r="S16" s="23">
        <f t="shared" si="2"/>
        <v>2371.1999999999998</v>
      </c>
      <c r="T16" s="23"/>
      <c r="U16" s="23">
        <f t="shared" si="3"/>
        <v>4910.3599999999997</v>
      </c>
      <c r="W16" s="22">
        <f t="shared" si="6"/>
        <v>20.499999999999996</v>
      </c>
      <c r="X16" s="22">
        <f t="shared" si="4"/>
        <v>19.999999999999996</v>
      </c>
      <c r="Y16" s="22">
        <f t="shared" si="4"/>
        <v>22</v>
      </c>
      <c r="Z16" s="22">
        <f t="shared" si="4"/>
        <v>23</v>
      </c>
      <c r="AA16" s="22">
        <f t="shared" si="4"/>
        <v>22</v>
      </c>
      <c r="AB16" s="22">
        <f t="shared" si="4"/>
        <v>20.999999999999996</v>
      </c>
      <c r="AC16" s="22">
        <f t="shared" si="7"/>
        <v>19.999999999999996</v>
      </c>
      <c r="AD16" s="22">
        <f t="shared" si="5"/>
        <v>19.999999999999996</v>
      </c>
      <c r="AE16" s="22">
        <f t="shared" si="5"/>
        <v>19.999999999999996</v>
      </c>
      <c r="AF16" s="22">
        <f t="shared" si="5"/>
        <v>19.999999999999996</v>
      </c>
      <c r="AG16" s="22">
        <f t="shared" si="5"/>
        <v>19.999999999999996</v>
      </c>
      <c r="AH16" s="22">
        <f t="shared" si="5"/>
        <v>19.999999999999996</v>
      </c>
      <c r="AI16" s="82">
        <f t="shared" si="8"/>
        <v>20.708333333333332</v>
      </c>
      <c r="AJ16" s="89">
        <f>+AI16</f>
        <v>20.708333333333332</v>
      </c>
      <c r="AK16" s="89">
        <f t="shared" si="9"/>
        <v>248.5</v>
      </c>
    </row>
    <row r="17" spans="1:37" s="4" customFormat="1" ht="12" customHeight="1">
      <c r="A17" s="4" t="str">
        <f t="shared" si="0"/>
        <v>STARBUCKRESIDENTIALRL090.0G1W002</v>
      </c>
      <c r="B17" s="5" t="s">
        <v>45</v>
      </c>
      <c r="C17" s="5" t="s">
        <v>46</v>
      </c>
      <c r="D17" s="20">
        <v>39.53</v>
      </c>
      <c r="E17" s="21">
        <v>39.53</v>
      </c>
      <c r="F17" s="21">
        <v>39.53</v>
      </c>
      <c r="G17" s="21">
        <v>39.53</v>
      </c>
      <c r="H17" s="21">
        <v>39.53</v>
      </c>
      <c r="I17" s="21">
        <v>39.53</v>
      </c>
      <c r="J17" s="21">
        <v>39.53</v>
      </c>
      <c r="K17" s="23">
        <f t="shared" si="1"/>
        <v>237.18</v>
      </c>
      <c r="L17" s="20"/>
      <c r="M17" s="21">
        <v>39.53</v>
      </c>
      <c r="N17" s="21">
        <v>39.53</v>
      </c>
      <c r="O17" s="21">
        <v>39.53</v>
      </c>
      <c r="P17" s="21">
        <v>39.53</v>
      </c>
      <c r="Q17" s="21">
        <v>39.53</v>
      </c>
      <c r="R17" s="21">
        <v>39.53</v>
      </c>
      <c r="S17" s="23">
        <f t="shared" si="2"/>
        <v>237.18</v>
      </c>
      <c r="T17" s="23"/>
      <c r="U17" s="23">
        <f t="shared" si="3"/>
        <v>474.36</v>
      </c>
      <c r="W17" s="22">
        <f t="shared" si="6"/>
        <v>1</v>
      </c>
      <c r="X17" s="22">
        <f t="shared" si="4"/>
        <v>1</v>
      </c>
      <c r="Y17" s="22">
        <f t="shared" si="4"/>
        <v>1</v>
      </c>
      <c r="Z17" s="22">
        <f t="shared" si="4"/>
        <v>1</v>
      </c>
      <c r="AA17" s="22">
        <f t="shared" si="4"/>
        <v>1</v>
      </c>
      <c r="AB17" s="22">
        <f t="shared" si="4"/>
        <v>1</v>
      </c>
      <c r="AC17" s="22">
        <f t="shared" si="7"/>
        <v>1</v>
      </c>
      <c r="AD17" s="22">
        <f t="shared" si="5"/>
        <v>1</v>
      </c>
      <c r="AE17" s="22">
        <f t="shared" si="5"/>
        <v>1</v>
      </c>
      <c r="AF17" s="22">
        <f t="shared" si="5"/>
        <v>1</v>
      </c>
      <c r="AG17" s="22">
        <f t="shared" si="5"/>
        <v>1</v>
      </c>
      <c r="AH17" s="22">
        <f t="shared" si="5"/>
        <v>1</v>
      </c>
      <c r="AI17" s="82">
        <f t="shared" si="8"/>
        <v>1</v>
      </c>
      <c r="AJ17" s="89">
        <f>+AI17*2</f>
        <v>2</v>
      </c>
      <c r="AK17" s="89">
        <f t="shared" si="9"/>
        <v>12</v>
      </c>
    </row>
    <row r="18" spans="1:37" s="4" customFormat="1" ht="12" customHeight="1">
      <c r="A18" s="4" t="str">
        <f t="shared" si="0"/>
        <v>STARBUCKRESIDENTIALEXTRA-RES</v>
      </c>
      <c r="B18" s="5" t="s">
        <v>51</v>
      </c>
      <c r="C18" s="5" t="s">
        <v>52</v>
      </c>
      <c r="D18" s="20">
        <v>2.69</v>
      </c>
      <c r="E18" s="21">
        <v>13.45</v>
      </c>
      <c r="F18" s="21">
        <v>8.07</v>
      </c>
      <c r="G18" s="21">
        <v>18.829999999999998</v>
      </c>
      <c r="H18" s="21">
        <v>8.07</v>
      </c>
      <c r="I18" s="21">
        <v>37.659999999999997</v>
      </c>
      <c r="J18" s="21">
        <v>0</v>
      </c>
      <c r="K18" s="23">
        <f t="shared" si="1"/>
        <v>86.079999999999984</v>
      </c>
      <c r="L18" s="20"/>
      <c r="M18" s="21">
        <v>61.87</v>
      </c>
      <c r="N18" s="21">
        <v>0</v>
      </c>
      <c r="O18" s="21">
        <v>21.52</v>
      </c>
      <c r="P18" s="21">
        <v>29.59</v>
      </c>
      <c r="Q18" s="21">
        <v>37.659999999999997</v>
      </c>
      <c r="R18" s="21">
        <v>34.97</v>
      </c>
      <c r="S18" s="23">
        <f t="shared" si="2"/>
        <v>185.60999999999999</v>
      </c>
      <c r="T18" s="23"/>
      <c r="U18" s="23">
        <f t="shared" si="3"/>
        <v>271.68999999999994</v>
      </c>
      <c r="W18" s="22">
        <f t="shared" si="6"/>
        <v>5</v>
      </c>
      <c r="X18" s="22">
        <f t="shared" si="4"/>
        <v>3</v>
      </c>
      <c r="Y18" s="22">
        <f t="shared" si="4"/>
        <v>6.9999999999999991</v>
      </c>
      <c r="Z18" s="22">
        <f t="shared" si="4"/>
        <v>3</v>
      </c>
      <c r="AA18" s="22">
        <f t="shared" si="4"/>
        <v>13.999999999999998</v>
      </c>
      <c r="AB18" s="22">
        <f t="shared" si="4"/>
        <v>0</v>
      </c>
      <c r="AC18" s="22">
        <f t="shared" si="7"/>
        <v>23</v>
      </c>
      <c r="AD18" s="22">
        <f t="shared" si="5"/>
        <v>0</v>
      </c>
      <c r="AE18" s="22">
        <f t="shared" si="5"/>
        <v>8</v>
      </c>
      <c r="AF18" s="22">
        <f t="shared" si="5"/>
        <v>11</v>
      </c>
      <c r="AG18" s="22">
        <f t="shared" si="5"/>
        <v>13.999999999999998</v>
      </c>
      <c r="AH18" s="22">
        <f t="shared" si="5"/>
        <v>13</v>
      </c>
      <c r="AI18" s="82">
        <f t="shared" si="8"/>
        <v>8.4166666666666661</v>
      </c>
      <c r="AJ18" s="89"/>
      <c r="AK18" s="89">
        <f t="shared" si="9"/>
        <v>101</v>
      </c>
    </row>
    <row r="19" spans="1:37" s="4" customFormat="1" ht="12" customHeight="1">
      <c r="A19" s="4" t="str">
        <f t="shared" si="0"/>
        <v>STARBUCKRESIDENTIALEXTRYDG-RES</v>
      </c>
      <c r="B19" s="5" t="s">
        <v>53</v>
      </c>
      <c r="C19" s="5" t="s">
        <v>54</v>
      </c>
      <c r="D19" s="20">
        <v>13.52</v>
      </c>
      <c r="E19" s="21">
        <v>0</v>
      </c>
      <c r="F19" s="21">
        <v>0</v>
      </c>
      <c r="G19" s="21">
        <v>13.52</v>
      </c>
      <c r="H19" s="21">
        <v>0</v>
      </c>
      <c r="I19" s="21">
        <v>0</v>
      </c>
      <c r="J19" s="21">
        <v>0</v>
      </c>
      <c r="K19" s="23">
        <f t="shared" si="1"/>
        <v>13.52</v>
      </c>
      <c r="L19" s="20"/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3">
        <f t="shared" si="2"/>
        <v>0</v>
      </c>
      <c r="T19" s="23"/>
      <c r="U19" s="23">
        <f t="shared" si="3"/>
        <v>13.52</v>
      </c>
      <c r="W19" s="22">
        <f t="shared" si="6"/>
        <v>0</v>
      </c>
      <c r="X19" s="22">
        <f t="shared" si="4"/>
        <v>0</v>
      </c>
      <c r="Y19" s="22">
        <f t="shared" si="4"/>
        <v>1</v>
      </c>
      <c r="Z19" s="22">
        <f t="shared" si="4"/>
        <v>0</v>
      </c>
      <c r="AA19" s="22">
        <f t="shared" si="4"/>
        <v>0</v>
      </c>
      <c r="AB19" s="22">
        <f t="shared" si="4"/>
        <v>0</v>
      </c>
      <c r="AC19" s="22">
        <f t="shared" si="7"/>
        <v>0</v>
      </c>
      <c r="AD19" s="22">
        <f t="shared" si="5"/>
        <v>0</v>
      </c>
      <c r="AE19" s="22">
        <f t="shared" si="5"/>
        <v>0</v>
      </c>
      <c r="AF19" s="22">
        <f t="shared" si="5"/>
        <v>0</v>
      </c>
      <c r="AG19" s="22">
        <f t="shared" si="5"/>
        <v>0</v>
      </c>
      <c r="AH19" s="22">
        <f t="shared" si="5"/>
        <v>0</v>
      </c>
      <c r="AI19" s="82">
        <f t="shared" si="8"/>
        <v>8.3333333333333329E-2</v>
      </c>
      <c r="AJ19" s="89"/>
      <c r="AK19" s="89">
        <f t="shared" si="9"/>
        <v>1</v>
      </c>
    </row>
    <row r="20" spans="1:37" s="4" customFormat="1" ht="12" customHeight="1" thickBot="1">
      <c r="B20" s="24"/>
      <c r="C20" s="24"/>
      <c r="D20" s="20"/>
      <c r="E20" s="22"/>
      <c r="F20" s="22"/>
      <c r="G20" s="22"/>
      <c r="H20" s="22"/>
      <c r="I20" s="22"/>
      <c r="J20" s="22"/>
      <c r="K20" s="23"/>
      <c r="L20" s="20"/>
      <c r="M20" s="22"/>
      <c r="N20" s="22"/>
      <c r="O20" s="22"/>
      <c r="P20" s="22"/>
      <c r="Q20" s="22"/>
      <c r="R20" s="22"/>
      <c r="S20" s="23"/>
      <c r="T20" s="23"/>
      <c r="U20" s="23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5"/>
    </row>
    <row r="21" spans="1:37" s="2" customFormat="1" ht="12" customHeight="1" thickBot="1">
      <c r="B21" s="25"/>
      <c r="C21" s="26" t="s">
        <v>8</v>
      </c>
      <c r="D21" s="20"/>
      <c r="E21" s="27">
        <f t="shared" ref="E21:K21" si="10">SUM(E12:E20)</f>
        <v>1008.6600000000001</v>
      </c>
      <c r="F21" s="27">
        <f t="shared" si="10"/>
        <v>1003.9800000000001</v>
      </c>
      <c r="G21" s="27">
        <f t="shared" si="10"/>
        <v>1056.96</v>
      </c>
      <c r="H21" s="27">
        <f t="shared" si="10"/>
        <v>1000.0500000000001</v>
      </c>
      <c r="I21" s="27">
        <f t="shared" si="10"/>
        <v>1011.77</v>
      </c>
      <c r="J21" s="27">
        <f t="shared" si="10"/>
        <v>917.68999999999994</v>
      </c>
      <c r="K21" s="27">
        <f t="shared" si="10"/>
        <v>5999.1100000000006</v>
      </c>
      <c r="L21" s="20"/>
      <c r="M21" s="27">
        <f t="shared" ref="M21:S21" si="11">SUM(M12:M20)</f>
        <v>957.79</v>
      </c>
      <c r="N21" s="27">
        <f t="shared" si="11"/>
        <v>891.12999999999988</v>
      </c>
      <c r="O21" s="27">
        <f t="shared" si="11"/>
        <v>851.63999999999987</v>
      </c>
      <c r="P21" s="27">
        <f t="shared" si="11"/>
        <v>907.6</v>
      </c>
      <c r="Q21" s="27">
        <f t="shared" si="11"/>
        <v>915.67</v>
      </c>
      <c r="R21" s="27">
        <f t="shared" si="11"/>
        <v>912.98</v>
      </c>
      <c r="S21" s="27">
        <f t="shared" si="11"/>
        <v>5436.8099999999995</v>
      </c>
      <c r="T21" s="43"/>
      <c r="U21" s="27">
        <f>SUM(U12:U20)</f>
        <v>11435.92</v>
      </c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85">
        <f>SUM(AI12:AI17)</f>
        <v>61.979184641932704</v>
      </c>
    </row>
    <row r="22" spans="1:37" s="4" customFormat="1" ht="12" customHeight="1">
      <c r="D22" s="20"/>
      <c r="G22" s="2"/>
      <c r="K22" s="23"/>
      <c r="L22" s="20"/>
      <c r="O22" s="2"/>
      <c r="S22" s="23"/>
      <c r="T22" s="23"/>
      <c r="U22" s="23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5"/>
    </row>
    <row r="23" spans="1:37" ht="12" customHeight="1">
      <c r="B23" s="33" t="s">
        <v>11</v>
      </c>
      <c r="C23" s="33" t="s">
        <v>11</v>
      </c>
    </row>
    <row r="24" spans="1:37" ht="12" customHeight="1">
      <c r="B24" s="33"/>
      <c r="C24" s="33"/>
    </row>
    <row r="25" spans="1:37" s="4" customFormat="1" ht="12" customHeight="1">
      <c r="B25" s="19" t="s">
        <v>12</v>
      </c>
      <c r="C25" s="19" t="s">
        <v>12</v>
      </c>
      <c r="D25" s="20"/>
      <c r="K25" s="23"/>
      <c r="L25" s="20"/>
      <c r="S25" s="23"/>
      <c r="T25" s="23"/>
      <c r="U25" s="23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5"/>
    </row>
    <row r="26" spans="1:37" s="4" customFormat="1" ht="12" customHeight="1">
      <c r="A26" s="4" t="str">
        <f t="shared" ref="A26:A30" si="12">"STARBUCK"&amp;"COMMERCIAL"&amp;B26</f>
        <v>STARBUCKCOMMERCIALRL001.5Y1W001</v>
      </c>
      <c r="B26" s="5" t="s">
        <v>69</v>
      </c>
      <c r="C26" s="5" t="s">
        <v>70</v>
      </c>
      <c r="D26" s="20">
        <v>75.8</v>
      </c>
      <c r="E26" s="21">
        <v>151.6</v>
      </c>
      <c r="F26" s="21">
        <v>151.6</v>
      </c>
      <c r="G26" s="21">
        <v>151.6</v>
      </c>
      <c r="H26" s="21">
        <v>151.6</v>
      </c>
      <c r="I26" s="21">
        <v>151.6</v>
      </c>
      <c r="J26" s="21">
        <v>94.75</v>
      </c>
      <c r="K26" s="23">
        <f t="shared" ref="K26:K30" si="13">SUM(E26:J26)</f>
        <v>852.75</v>
      </c>
      <c r="L26" s="20"/>
      <c r="M26" s="21">
        <v>75.8</v>
      </c>
      <c r="N26" s="21">
        <v>75.8</v>
      </c>
      <c r="O26" s="21">
        <v>75.8</v>
      </c>
      <c r="P26" s="21">
        <v>75.8</v>
      </c>
      <c r="Q26" s="21">
        <v>75.8</v>
      </c>
      <c r="R26" s="21">
        <v>75.8</v>
      </c>
      <c r="S26" s="23">
        <f t="shared" ref="S26:S30" si="14">SUM(M26:R26)</f>
        <v>454.8</v>
      </c>
      <c r="T26" s="23"/>
      <c r="U26" s="23">
        <f t="shared" ref="U26:U30" si="15">K26+S26</f>
        <v>1307.55</v>
      </c>
      <c r="W26" s="22">
        <f t="shared" ref="W26:W29" si="16">IFERROR(E26/$D26,0)</f>
        <v>2</v>
      </c>
      <c r="X26" s="22">
        <f t="shared" ref="X26:X29" si="17">IFERROR(F26/$D26,0)</f>
        <v>2</v>
      </c>
      <c r="Y26" s="22">
        <f t="shared" ref="Y26:Y29" si="18">IFERROR(G26/$D26,0)</f>
        <v>2</v>
      </c>
      <c r="Z26" s="22">
        <f t="shared" ref="Z26:Z29" si="19">IFERROR(H26/$D26,0)</f>
        <v>2</v>
      </c>
      <c r="AA26" s="22">
        <f t="shared" ref="AA26:AA29" si="20">IFERROR(I26/$D26,0)</f>
        <v>2</v>
      </c>
      <c r="AB26" s="22">
        <f t="shared" ref="AB26:AB29" si="21">IFERROR(J26/$D26,0)</f>
        <v>1.25</v>
      </c>
      <c r="AC26" s="22">
        <f t="shared" ref="AC26:AC29" si="22">IFERROR(M26/$D26,0)</f>
        <v>1</v>
      </c>
      <c r="AD26" s="22">
        <f t="shared" ref="AD26:AD29" si="23">IFERROR(N26/$D26,0)</f>
        <v>1</v>
      </c>
      <c r="AE26" s="22">
        <f t="shared" ref="AE26:AE29" si="24">IFERROR(O26/$D26,0)</f>
        <v>1</v>
      </c>
      <c r="AF26" s="22">
        <f t="shared" ref="AF26:AF29" si="25">IFERROR(P26/$D26,0)</f>
        <v>1</v>
      </c>
      <c r="AG26" s="22">
        <f t="shared" ref="AG26:AG29" si="26">IFERROR(Q26/$D26,0)</f>
        <v>1</v>
      </c>
      <c r="AH26" s="22">
        <f t="shared" ref="AH26:AH29" si="27">IFERROR(R26/$D26,0)</f>
        <v>1</v>
      </c>
      <c r="AI26" s="82">
        <f>SUM(W26:AH26)/12</f>
        <v>1.4375</v>
      </c>
      <c r="AJ26" s="89">
        <f>+AI26</f>
        <v>1.4375</v>
      </c>
      <c r="AK26" s="89">
        <f>SUM(W26:AH26)</f>
        <v>17.25</v>
      </c>
    </row>
    <row r="27" spans="1:37" s="4" customFormat="1" ht="12" customHeight="1">
      <c r="A27" s="4" t="str">
        <f t="shared" si="12"/>
        <v>STARBUCKCOMMERCIALRL065.0G1W001COMM</v>
      </c>
      <c r="B27" s="5" t="s">
        <v>91</v>
      </c>
      <c r="C27" s="5" t="s">
        <v>92</v>
      </c>
      <c r="D27" s="20">
        <v>17.91</v>
      </c>
      <c r="E27" s="21">
        <v>17.91</v>
      </c>
      <c r="F27" s="21">
        <v>17.91</v>
      </c>
      <c r="G27" s="21">
        <v>17.91</v>
      </c>
      <c r="H27" s="21">
        <v>17.91</v>
      </c>
      <c r="I27" s="21">
        <v>17.91</v>
      </c>
      <c r="J27" s="21">
        <v>17.91</v>
      </c>
      <c r="K27" s="23">
        <f t="shared" si="13"/>
        <v>107.46</v>
      </c>
      <c r="L27" s="20"/>
      <c r="M27" s="21">
        <v>17.91</v>
      </c>
      <c r="N27" s="21">
        <v>17.91</v>
      </c>
      <c r="O27" s="21">
        <v>17.91</v>
      </c>
      <c r="P27" s="21">
        <v>17.91</v>
      </c>
      <c r="Q27" s="21">
        <v>17.91</v>
      </c>
      <c r="R27" s="21">
        <v>17.91</v>
      </c>
      <c r="S27" s="23">
        <f t="shared" si="14"/>
        <v>107.46</v>
      </c>
      <c r="T27" s="23"/>
      <c r="U27" s="23">
        <f t="shared" si="15"/>
        <v>214.92</v>
      </c>
      <c r="W27" s="22">
        <f t="shared" si="16"/>
        <v>1</v>
      </c>
      <c r="X27" s="22">
        <f t="shared" si="17"/>
        <v>1</v>
      </c>
      <c r="Y27" s="22">
        <f t="shared" si="18"/>
        <v>1</v>
      </c>
      <c r="Z27" s="22">
        <f t="shared" si="19"/>
        <v>1</v>
      </c>
      <c r="AA27" s="22">
        <f t="shared" si="20"/>
        <v>1</v>
      </c>
      <c r="AB27" s="22">
        <f t="shared" si="21"/>
        <v>1</v>
      </c>
      <c r="AC27" s="22">
        <f t="shared" si="22"/>
        <v>1</v>
      </c>
      <c r="AD27" s="22">
        <f t="shared" si="23"/>
        <v>1</v>
      </c>
      <c r="AE27" s="22">
        <f t="shared" si="24"/>
        <v>1</v>
      </c>
      <c r="AF27" s="22">
        <f t="shared" si="25"/>
        <v>1</v>
      </c>
      <c r="AG27" s="22">
        <f t="shared" si="26"/>
        <v>1</v>
      </c>
      <c r="AH27" s="22">
        <f t="shared" si="27"/>
        <v>1</v>
      </c>
      <c r="AI27" s="82">
        <f t="shared" ref="AI27:AI29" si="28">SUM(W27:AH27)/12</f>
        <v>1</v>
      </c>
      <c r="AJ27" s="89">
        <f>+AI27</f>
        <v>1</v>
      </c>
      <c r="AK27" s="89">
        <f t="shared" ref="AK27:AK29" si="29">SUM(W27:AH27)</f>
        <v>12</v>
      </c>
    </row>
    <row r="28" spans="1:37" s="4" customFormat="1" ht="12" customHeight="1">
      <c r="A28" s="4" t="str">
        <f t="shared" si="12"/>
        <v>STARBUCKCOMMERCIALRL090.0G1W001COMM</v>
      </c>
      <c r="B28" s="5" t="s">
        <v>93</v>
      </c>
      <c r="C28" s="5" t="s">
        <v>94</v>
      </c>
      <c r="D28" s="20">
        <v>20.74</v>
      </c>
      <c r="E28" s="21">
        <v>103.7</v>
      </c>
      <c r="F28" s="21">
        <v>103.7</v>
      </c>
      <c r="G28" s="21">
        <v>103.7</v>
      </c>
      <c r="H28" s="21">
        <v>103.7</v>
      </c>
      <c r="I28" s="21">
        <v>103.7</v>
      </c>
      <c r="J28" s="21">
        <v>103.7</v>
      </c>
      <c r="K28" s="23">
        <f t="shared" si="13"/>
        <v>622.20000000000005</v>
      </c>
      <c r="L28" s="20"/>
      <c r="M28" s="21">
        <v>103.7</v>
      </c>
      <c r="N28" s="21">
        <v>103.7</v>
      </c>
      <c r="O28" s="21">
        <v>103.7</v>
      </c>
      <c r="P28" s="21">
        <v>103.7</v>
      </c>
      <c r="Q28" s="21">
        <v>103.7</v>
      </c>
      <c r="R28" s="21">
        <v>103.7</v>
      </c>
      <c r="S28" s="23">
        <f t="shared" si="14"/>
        <v>622.20000000000005</v>
      </c>
      <c r="T28" s="23"/>
      <c r="U28" s="23">
        <f t="shared" si="15"/>
        <v>1244.4000000000001</v>
      </c>
      <c r="W28" s="22">
        <f t="shared" si="16"/>
        <v>5.0000000000000009</v>
      </c>
      <c r="X28" s="22">
        <f t="shared" si="17"/>
        <v>5.0000000000000009</v>
      </c>
      <c r="Y28" s="22">
        <f t="shared" si="18"/>
        <v>5.0000000000000009</v>
      </c>
      <c r="Z28" s="22">
        <f t="shared" si="19"/>
        <v>5.0000000000000009</v>
      </c>
      <c r="AA28" s="22">
        <f t="shared" si="20"/>
        <v>5.0000000000000009</v>
      </c>
      <c r="AB28" s="22">
        <f t="shared" si="21"/>
        <v>5.0000000000000009</v>
      </c>
      <c r="AC28" s="22">
        <f t="shared" si="22"/>
        <v>5.0000000000000009</v>
      </c>
      <c r="AD28" s="22">
        <f t="shared" si="23"/>
        <v>5.0000000000000009</v>
      </c>
      <c r="AE28" s="22">
        <f t="shared" si="24"/>
        <v>5.0000000000000009</v>
      </c>
      <c r="AF28" s="22">
        <f t="shared" si="25"/>
        <v>5.0000000000000009</v>
      </c>
      <c r="AG28" s="22">
        <f t="shared" si="26"/>
        <v>5.0000000000000009</v>
      </c>
      <c r="AH28" s="22">
        <f t="shared" si="27"/>
        <v>5.0000000000000009</v>
      </c>
      <c r="AI28" s="82">
        <f t="shared" si="28"/>
        <v>5.0000000000000009</v>
      </c>
      <c r="AJ28" s="89">
        <f>+AI28</f>
        <v>5.0000000000000009</v>
      </c>
      <c r="AK28" s="89">
        <f t="shared" si="29"/>
        <v>60.000000000000007</v>
      </c>
    </row>
    <row r="29" spans="1:37" s="4" customFormat="1" ht="12" customHeight="1">
      <c r="A29" s="4" t="str">
        <f t="shared" si="12"/>
        <v>STARBUCKCOMMERCIALEXTRA-COMM</v>
      </c>
      <c r="B29" s="5" t="s">
        <v>111</v>
      </c>
      <c r="C29" s="5" t="s">
        <v>112</v>
      </c>
      <c r="D29" s="20">
        <v>2.69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3">
        <f t="shared" si="13"/>
        <v>0</v>
      </c>
      <c r="L29" s="20"/>
      <c r="M29" s="21">
        <v>0</v>
      </c>
      <c r="N29" s="21">
        <v>0</v>
      </c>
      <c r="O29" s="21">
        <v>0</v>
      </c>
      <c r="P29" s="21">
        <v>0</v>
      </c>
      <c r="Q29" s="21">
        <v>8.07</v>
      </c>
      <c r="R29" s="21">
        <v>20</v>
      </c>
      <c r="S29" s="23">
        <f t="shared" si="14"/>
        <v>28.07</v>
      </c>
      <c r="T29" s="23"/>
      <c r="U29" s="23">
        <f t="shared" si="15"/>
        <v>28.07</v>
      </c>
      <c r="W29" s="22">
        <f t="shared" si="16"/>
        <v>0</v>
      </c>
      <c r="X29" s="22">
        <f t="shared" si="17"/>
        <v>0</v>
      </c>
      <c r="Y29" s="22">
        <f t="shared" si="18"/>
        <v>0</v>
      </c>
      <c r="Z29" s="22">
        <f t="shared" si="19"/>
        <v>0</v>
      </c>
      <c r="AA29" s="22">
        <f t="shared" si="20"/>
        <v>0</v>
      </c>
      <c r="AB29" s="22">
        <f t="shared" si="21"/>
        <v>0</v>
      </c>
      <c r="AC29" s="22">
        <f t="shared" si="22"/>
        <v>0</v>
      </c>
      <c r="AD29" s="22">
        <f t="shared" si="23"/>
        <v>0</v>
      </c>
      <c r="AE29" s="22">
        <f t="shared" si="24"/>
        <v>0</v>
      </c>
      <c r="AF29" s="22">
        <f t="shared" si="25"/>
        <v>0</v>
      </c>
      <c r="AG29" s="22">
        <f t="shared" si="26"/>
        <v>3</v>
      </c>
      <c r="AH29" s="22">
        <f t="shared" si="27"/>
        <v>7.4349442379182156</v>
      </c>
      <c r="AI29" s="82">
        <f t="shared" si="28"/>
        <v>0.8695786864931847</v>
      </c>
      <c r="AJ29" s="89"/>
      <c r="AK29" s="89">
        <f t="shared" si="29"/>
        <v>10.434944237918216</v>
      </c>
    </row>
    <row r="30" spans="1:37" s="2" customFormat="1" ht="12" customHeight="1">
      <c r="A30" s="4" t="str">
        <f t="shared" si="12"/>
        <v>STARBUCKCOMMERCIALADMINFEE-COMM</v>
      </c>
      <c r="B30" s="60" t="s">
        <v>279</v>
      </c>
      <c r="C30" s="60" t="s">
        <v>280</v>
      </c>
      <c r="D30" s="20"/>
      <c r="E30" s="21">
        <v>-255.31</v>
      </c>
      <c r="F30" s="21">
        <v>-255.91</v>
      </c>
      <c r="G30" s="21">
        <v>-260.74</v>
      </c>
      <c r="H30" s="21">
        <v>-260.35000000000002</v>
      </c>
      <c r="I30" s="21">
        <v>-255.82999999999998</v>
      </c>
      <c r="J30" s="21">
        <v>-241.91</v>
      </c>
      <c r="K30" s="23">
        <f t="shared" si="13"/>
        <v>-1530.05</v>
      </c>
      <c r="L30" s="20"/>
      <c r="M30" s="21">
        <v>-217.59</v>
      </c>
      <c r="N30" s="21">
        <v>-213.03</v>
      </c>
      <c r="O30" s="21">
        <v>-213.76</v>
      </c>
      <c r="P30" s="21">
        <v>-215.41</v>
      </c>
      <c r="Q30" s="21">
        <v>-222.62</v>
      </c>
      <c r="R30" s="21">
        <v>-225.16000000000003</v>
      </c>
      <c r="S30" s="23">
        <f t="shared" si="14"/>
        <v>-1307.57</v>
      </c>
      <c r="T30" s="23"/>
      <c r="U30" s="23">
        <f t="shared" si="15"/>
        <v>-2837.62</v>
      </c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</row>
    <row r="31" spans="1:37" s="4" customFormat="1" ht="12" customHeight="1" thickBot="1">
      <c r="B31" s="36"/>
      <c r="C31" s="36"/>
      <c r="D31" s="20"/>
      <c r="E31" s="22"/>
      <c r="F31" s="22"/>
      <c r="G31" s="22"/>
      <c r="H31" s="22"/>
      <c r="I31" s="22"/>
      <c r="J31" s="22"/>
      <c r="K31" s="23"/>
      <c r="L31" s="20"/>
      <c r="M31" s="22"/>
      <c r="N31" s="22"/>
      <c r="O31" s="22"/>
      <c r="P31" s="22"/>
      <c r="Q31" s="22"/>
      <c r="R31" s="22"/>
      <c r="S31" s="23"/>
      <c r="T31" s="23"/>
      <c r="U31" s="23"/>
      <c r="AI31" s="5"/>
    </row>
    <row r="32" spans="1:37" s="4" customFormat="1" ht="12" customHeight="1" thickBot="1">
      <c r="B32" s="36"/>
      <c r="C32" s="37" t="s">
        <v>13</v>
      </c>
      <c r="D32" s="20"/>
      <c r="E32" s="27">
        <f t="shared" ref="E32:K32" si="30">SUM(E26:E31)</f>
        <v>17.899999999999977</v>
      </c>
      <c r="F32" s="27">
        <f t="shared" si="30"/>
        <v>17.299999999999983</v>
      </c>
      <c r="G32" s="27">
        <f t="shared" si="30"/>
        <v>12.46999999999997</v>
      </c>
      <c r="H32" s="27">
        <f t="shared" si="30"/>
        <v>12.859999999999957</v>
      </c>
      <c r="I32" s="27">
        <f t="shared" si="30"/>
        <v>17.379999999999995</v>
      </c>
      <c r="J32" s="27">
        <f t="shared" si="30"/>
        <v>-25.549999999999983</v>
      </c>
      <c r="K32" s="27">
        <f t="shared" si="30"/>
        <v>52.360000000000127</v>
      </c>
      <c r="L32" s="20"/>
      <c r="M32" s="27">
        <f t="shared" ref="M32:S32" si="31">SUM(M26:M31)</f>
        <v>-20.180000000000007</v>
      </c>
      <c r="N32" s="27">
        <f t="shared" si="31"/>
        <v>-15.620000000000005</v>
      </c>
      <c r="O32" s="27">
        <f t="shared" si="31"/>
        <v>-16.349999999999994</v>
      </c>
      <c r="P32" s="27">
        <f t="shared" si="31"/>
        <v>-18</v>
      </c>
      <c r="Q32" s="27">
        <f t="shared" si="31"/>
        <v>-17.140000000000015</v>
      </c>
      <c r="R32" s="27">
        <f t="shared" si="31"/>
        <v>-7.7500000000000284</v>
      </c>
      <c r="S32" s="27">
        <f t="shared" si="31"/>
        <v>-95.039999999999964</v>
      </c>
      <c r="T32" s="43"/>
      <c r="U32" s="27">
        <f>SUM(U26:U31)</f>
        <v>-42.679999999999836</v>
      </c>
      <c r="AI32" s="84">
        <f>SUM(AI26:AI28)</f>
        <v>7.4375000000000009</v>
      </c>
    </row>
    <row r="33" spans="2:22" ht="12" customHeight="1">
      <c r="B33" s="2"/>
      <c r="C33" s="2"/>
    </row>
    <row r="34" spans="2:22" ht="12" customHeight="1">
      <c r="B34" s="25"/>
      <c r="C34" s="40"/>
    </row>
    <row r="35" spans="2:22" ht="12" customHeight="1">
      <c r="B35" s="6"/>
      <c r="C35" s="37" t="s">
        <v>27</v>
      </c>
      <c r="E35" s="27">
        <f>SUM(E21,E32)</f>
        <v>1026.56</v>
      </c>
      <c r="F35" s="27">
        <f t="shared" ref="F35:U35" si="32">SUM(F21,F32)</f>
        <v>1021.2800000000001</v>
      </c>
      <c r="G35" s="27">
        <f t="shared" si="32"/>
        <v>1069.43</v>
      </c>
      <c r="H35" s="27">
        <f t="shared" si="32"/>
        <v>1012.9100000000001</v>
      </c>
      <c r="I35" s="27">
        <f t="shared" si="32"/>
        <v>1029.1500000000001</v>
      </c>
      <c r="J35" s="27">
        <f t="shared" si="32"/>
        <v>892.14</v>
      </c>
      <c r="K35" s="27">
        <f t="shared" si="32"/>
        <v>6051.4700000000012</v>
      </c>
      <c r="M35" s="27">
        <f t="shared" si="32"/>
        <v>937.6099999999999</v>
      </c>
      <c r="N35" s="27">
        <f t="shared" si="32"/>
        <v>875.50999999999988</v>
      </c>
      <c r="O35" s="27">
        <f t="shared" si="32"/>
        <v>835.28999999999985</v>
      </c>
      <c r="P35" s="27">
        <f t="shared" si="32"/>
        <v>889.6</v>
      </c>
      <c r="Q35" s="27">
        <f t="shared" si="32"/>
        <v>898.53</v>
      </c>
      <c r="R35" s="27">
        <f t="shared" si="32"/>
        <v>905.23</v>
      </c>
      <c r="S35" s="27">
        <f t="shared" si="32"/>
        <v>5341.7699999999995</v>
      </c>
      <c r="T35" s="43"/>
      <c r="U35" s="27">
        <f t="shared" si="32"/>
        <v>11393.24</v>
      </c>
    </row>
    <row r="36" spans="2:22">
      <c r="B36" s="6"/>
      <c r="C36" s="6"/>
    </row>
    <row r="37" spans="2:22">
      <c r="E37" s="5">
        <v>1026.56</v>
      </c>
      <c r="F37" s="5">
        <v>1021.28</v>
      </c>
      <c r="G37" s="5">
        <v>1069.43</v>
      </c>
      <c r="H37" s="5">
        <v>1012.91</v>
      </c>
      <c r="I37" s="5">
        <v>1029.1500000000001</v>
      </c>
      <c r="J37" s="5">
        <v>892.13999999999987</v>
      </c>
      <c r="M37" s="5">
        <v>937.6099999999999</v>
      </c>
      <c r="N37" s="5">
        <v>875.51</v>
      </c>
      <c r="O37" s="5">
        <v>835.29</v>
      </c>
      <c r="P37" s="5">
        <v>889.59999999999991</v>
      </c>
      <c r="Q37" s="5">
        <v>898.53</v>
      </c>
      <c r="R37" s="5">
        <v>905.23</v>
      </c>
      <c r="V37" s="5" t="s">
        <v>519</v>
      </c>
    </row>
    <row r="38" spans="2:22">
      <c r="E38" s="80">
        <f>E37-E35</f>
        <v>0</v>
      </c>
      <c r="F38" s="80">
        <f t="shared" ref="F38" si="33">F37-F35</f>
        <v>0</v>
      </c>
      <c r="G38" s="80">
        <f t="shared" ref="G38" si="34">G37-G35</f>
        <v>0</v>
      </c>
      <c r="H38" s="80">
        <f t="shared" ref="H38" si="35">H37-H35</f>
        <v>0</v>
      </c>
      <c r="I38" s="80">
        <f t="shared" ref="I38" si="36">I37-I35</f>
        <v>0</v>
      </c>
      <c r="J38" s="80">
        <f t="shared" ref="J38" si="37">J37-J35</f>
        <v>0</v>
      </c>
      <c r="M38" s="80">
        <f>M37-M35</f>
        <v>0</v>
      </c>
      <c r="N38" s="80">
        <f t="shared" ref="N38:R38" si="38">N37-N35</f>
        <v>0</v>
      </c>
      <c r="O38" s="80">
        <f t="shared" si="38"/>
        <v>0</v>
      </c>
      <c r="P38" s="80">
        <f t="shared" si="38"/>
        <v>0</v>
      </c>
      <c r="Q38" s="80">
        <f t="shared" si="38"/>
        <v>0</v>
      </c>
      <c r="R38" s="80">
        <f t="shared" si="38"/>
        <v>0</v>
      </c>
      <c r="V38" s="5" t="s">
        <v>517</v>
      </c>
    </row>
  </sheetData>
  <pageMargins left="0.7" right="0.7" top="0.75" bottom="0.75" header="0.3" footer="0.3"/>
  <pageSetup scale="7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  <pageSetUpPr fitToPage="1"/>
  </sheetPr>
  <dimension ref="A1:AO68"/>
  <sheetViews>
    <sheetView workbookViewId="0">
      <pane xSplit="3" ySplit="6" topLeftCell="D7" activePane="bottomRight" state="frozen"/>
      <selection activeCell="AB20" sqref="AB20"/>
      <selection pane="topRight" activeCell="AB20" sqref="AB20"/>
      <selection pane="bottomLeft" activeCell="AB20" sqref="AB20"/>
      <selection pane="bottomRight" activeCell="D7" sqref="D7"/>
    </sheetView>
  </sheetViews>
  <sheetFormatPr defaultRowHeight="12.75" outlineLevelCol="1"/>
  <cols>
    <col min="1" max="1" width="40.42578125" style="5" customWidth="1"/>
    <col min="2" max="2" width="22.7109375" style="16" customWidth="1"/>
    <col min="3" max="3" width="29.140625" style="16" bestFit="1" customWidth="1"/>
    <col min="4" max="4" width="12.140625" style="5" bestFit="1" customWidth="1"/>
    <col min="5" max="5" width="3.28515625" style="5" customWidth="1"/>
    <col min="6" max="11" width="11" style="5" hidden="1" customWidth="1" outlineLevel="1"/>
    <col min="12" max="12" width="12" style="5" bestFit="1" customWidth="1" collapsed="1"/>
    <col min="13" max="13" width="2" style="5" customWidth="1"/>
    <col min="14" max="19" width="11" style="5" hidden="1" customWidth="1" outlineLevel="1"/>
    <col min="20" max="20" width="12" style="5" bestFit="1" customWidth="1" collapsed="1"/>
    <col min="21" max="21" width="3.42578125" style="5" customWidth="1"/>
    <col min="22" max="22" width="12" style="5" customWidth="1"/>
    <col min="23" max="23" width="9.140625" style="5"/>
    <col min="24" max="32" width="8" style="5" hidden="1" customWidth="1" outlineLevel="1"/>
    <col min="33" max="35" width="9.42578125" style="5" hidden="1" customWidth="1" outlineLevel="1"/>
    <col min="36" max="36" width="6.5703125" style="5" bestFit="1" customWidth="1" collapsed="1"/>
    <col min="37" max="37" width="5.7109375" style="5" bestFit="1" customWidth="1"/>
    <col min="38" max="38" width="7.5703125" style="5" bestFit="1" customWidth="1"/>
    <col min="39" max="16384" width="9.140625" style="5"/>
  </cols>
  <sheetData>
    <row r="1" spans="1:41" ht="12" customHeight="1">
      <c r="B1" s="1" t="s">
        <v>28</v>
      </c>
      <c r="C1" s="2"/>
      <c r="D1" s="3"/>
      <c r="E1" s="3"/>
      <c r="F1" s="4"/>
      <c r="G1" s="4"/>
      <c r="H1" s="4"/>
      <c r="I1" s="4"/>
      <c r="J1" s="4"/>
      <c r="K1" s="4"/>
      <c r="L1" s="4"/>
      <c r="M1" s="2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41" ht="12" customHeight="1">
      <c r="B2" s="1" t="s">
        <v>253</v>
      </c>
      <c r="C2" s="2"/>
      <c r="D2" s="100" t="s">
        <v>494</v>
      </c>
      <c r="E2" s="100"/>
      <c r="G2" s="4"/>
      <c r="H2" s="4"/>
      <c r="I2" s="4"/>
      <c r="J2" s="4"/>
      <c r="K2" s="4"/>
      <c r="L2" s="4"/>
      <c r="M2" s="2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41" ht="12" customHeight="1">
      <c r="B3" s="6" t="str">
        <f>'Starbuck Non-Reg - Price Out'!B3</f>
        <v>July 1, 2015 - June 30, 2016</v>
      </c>
      <c r="C3" s="2"/>
      <c r="D3" s="3"/>
      <c r="E3" s="3"/>
      <c r="F3" s="7"/>
      <c r="G3" s="4"/>
      <c r="H3" s="4"/>
      <c r="I3" s="4"/>
      <c r="J3" s="4"/>
      <c r="K3" s="4"/>
      <c r="L3" s="4"/>
      <c r="M3" s="2"/>
      <c r="N3" s="7"/>
      <c r="O3" s="4"/>
      <c r="P3" s="4"/>
      <c r="Q3" s="4"/>
      <c r="R3" s="4"/>
      <c r="S3" s="4"/>
      <c r="T3" s="4"/>
      <c r="U3" s="2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41" ht="12" customHeight="1">
      <c r="B4" s="2"/>
      <c r="C4" s="8"/>
      <c r="D4" s="9" t="s">
        <v>558</v>
      </c>
      <c r="E4" s="13"/>
      <c r="F4" s="103">
        <v>42186</v>
      </c>
      <c r="G4" s="103">
        <v>42217</v>
      </c>
      <c r="H4" s="103">
        <v>42248</v>
      </c>
      <c r="I4" s="103">
        <v>42278</v>
      </c>
      <c r="J4" s="103">
        <v>42309</v>
      </c>
      <c r="K4" s="103">
        <v>42339</v>
      </c>
      <c r="L4" s="104">
        <v>2015</v>
      </c>
      <c r="M4" s="2"/>
      <c r="N4" s="10">
        <v>42370</v>
      </c>
      <c r="O4" s="10">
        <v>42401</v>
      </c>
      <c r="P4" s="10">
        <v>42430</v>
      </c>
      <c r="Q4" s="10">
        <v>42461</v>
      </c>
      <c r="R4" s="10">
        <v>42491</v>
      </c>
      <c r="S4" s="10">
        <v>42522</v>
      </c>
      <c r="T4" s="11">
        <v>2016</v>
      </c>
      <c r="U4" s="8"/>
      <c r="V4" s="11" t="s">
        <v>0</v>
      </c>
      <c r="W4" s="4"/>
      <c r="X4" s="12">
        <v>42186</v>
      </c>
      <c r="Y4" s="12">
        <v>42217</v>
      </c>
      <c r="Z4" s="12">
        <v>42248</v>
      </c>
      <c r="AA4" s="12">
        <v>42278</v>
      </c>
      <c r="AB4" s="12">
        <v>42309</v>
      </c>
      <c r="AC4" s="12">
        <v>42339</v>
      </c>
      <c r="AD4" s="12">
        <v>42370</v>
      </c>
      <c r="AE4" s="12">
        <v>42401</v>
      </c>
      <c r="AF4" s="12">
        <v>42430</v>
      </c>
      <c r="AG4" s="12">
        <v>42461</v>
      </c>
      <c r="AH4" s="12">
        <v>42491</v>
      </c>
      <c r="AI4" s="12">
        <v>42522</v>
      </c>
      <c r="AJ4" s="12" t="s">
        <v>462</v>
      </c>
      <c r="AK4" s="12" t="s">
        <v>490</v>
      </c>
      <c r="AL4" s="92" t="s">
        <v>492</v>
      </c>
    </row>
    <row r="5" spans="1:41" ht="12" customHeight="1">
      <c r="B5" s="13" t="s">
        <v>1</v>
      </c>
      <c r="C5" s="8" t="s">
        <v>2</v>
      </c>
      <c r="D5" s="14" t="s">
        <v>3</v>
      </c>
      <c r="E5" s="102"/>
      <c r="F5" s="104" t="s">
        <v>4</v>
      </c>
      <c r="G5" s="104" t="s">
        <v>4</v>
      </c>
      <c r="H5" s="104" t="s">
        <v>4</v>
      </c>
      <c r="I5" s="104" t="s">
        <v>4</v>
      </c>
      <c r="J5" s="104" t="s">
        <v>4</v>
      </c>
      <c r="K5" s="104" t="s">
        <v>4</v>
      </c>
      <c r="L5" s="104" t="s">
        <v>4</v>
      </c>
      <c r="M5" s="8"/>
      <c r="N5" s="11" t="s">
        <v>4</v>
      </c>
      <c r="O5" s="11" t="s">
        <v>4</v>
      </c>
      <c r="P5" s="11" t="s">
        <v>4</v>
      </c>
      <c r="Q5" s="11" t="s">
        <v>4</v>
      </c>
      <c r="R5" s="11" t="s">
        <v>4</v>
      </c>
      <c r="S5" s="11" t="s">
        <v>4</v>
      </c>
      <c r="T5" s="11" t="s">
        <v>4</v>
      </c>
      <c r="U5" s="8"/>
      <c r="V5" s="11" t="s">
        <v>4</v>
      </c>
      <c r="W5" s="4"/>
      <c r="X5" s="15" t="s">
        <v>5</v>
      </c>
      <c r="Y5" s="15" t="s">
        <v>5</v>
      </c>
      <c r="Z5" s="15" t="s">
        <v>5</v>
      </c>
      <c r="AA5" s="15" t="s">
        <v>5</v>
      </c>
      <c r="AB5" s="15" t="s">
        <v>5</v>
      </c>
      <c r="AC5" s="15" t="s">
        <v>5</v>
      </c>
      <c r="AD5" s="15" t="s">
        <v>5</v>
      </c>
      <c r="AE5" s="15" t="s">
        <v>5</v>
      </c>
      <c r="AF5" s="15" t="s">
        <v>5</v>
      </c>
      <c r="AG5" s="15" t="s">
        <v>5</v>
      </c>
      <c r="AH5" s="15" t="s">
        <v>5</v>
      </c>
      <c r="AI5" s="15" t="s">
        <v>5</v>
      </c>
      <c r="AJ5" s="15" t="s">
        <v>491</v>
      </c>
      <c r="AK5" s="15" t="s">
        <v>489</v>
      </c>
      <c r="AL5" s="93" t="s">
        <v>491</v>
      </c>
    </row>
    <row r="6" spans="1:41" ht="12" customHeight="1"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N6" s="5">
        <v>4</v>
      </c>
      <c r="O6" s="5">
        <v>5</v>
      </c>
      <c r="P6" s="5">
        <v>6</v>
      </c>
      <c r="Q6" s="5">
        <v>7</v>
      </c>
      <c r="R6" s="5">
        <v>8</v>
      </c>
      <c r="S6" s="5">
        <v>9</v>
      </c>
    </row>
    <row r="7" spans="1:41" s="4" customFormat="1" ht="12" customHeight="1">
      <c r="C7" s="2"/>
      <c r="D7" s="3"/>
      <c r="E7" s="3"/>
      <c r="M7" s="2"/>
      <c r="AJ7" s="5"/>
    </row>
    <row r="8" spans="1:41" s="4" customFormat="1" ht="12" customHeight="1">
      <c r="D8" s="3"/>
      <c r="E8" s="3"/>
      <c r="M8" s="17"/>
      <c r="AJ8" s="5"/>
      <c r="AN8" s="4" t="s">
        <v>478</v>
      </c>
      <c r="AO8" s="89">
        <f>SUM(AK12:AK18,AK40:AK44)</f>
        <v>133.39583333333334</v>
      </c>
    </row>
    <row r="9" spans="1:41" s="4" customFormat="1" ht="12" customHeight="1">
      <c r="B9" s="18" t="s">
        <v>6</v>
      </c>
      <c r="C9" s="18" t="s">
        <v>6</v>
      </c>
      <c r="D9" s="3"/>
      <c r="E9" s="3"/>
      <c r="M9" s="17"/>
      <c r="AJ9" s="5"/>
      <c r="AN9" s="4" t="s">
        <v>479</v>
      </c>
      <c r="AO9" s="89">
        <f>SUM(AK32:AK39)</f>
        <v>18.270833333333336</v>
      </c>
    </row>
    <row r="10" spans="1:41" s="4" customFormat="1" ht="12" customHeight="1">
      <c r="B10" s="18"/>
      <c r="C10" s="18"/>
      <c r="D10" s="3"/>
      <c r="E10" s="3"/>
      <c r="M10" s="17"/>
      <c r="AJ10" s="5"/>
    </row>
    <row r="11" spans="1:41" s="4" customFormat="1" ht="12" customHeight="1">
      <c r="B11" s="19" t="s">
        <v>7</v>
      </c>
      <c r="C11" s="19" t="s">
        <v>7</v>
      </c>
      <c r="D11" s="20"/>
      <c r="E11" s="20"/>
      <c r="F11" s="22"/>
      <c r="G11" s="22"/>
      <c r="H11" s="22"/>
      <c r="I11" s="22"/>
      <c r="J11" s="22"/>
      <c r="K11" s="22"/>
      <c r="L11" s="23"/>
      <c r="M11" s="20"/>
      <c r="N11" s="22"/>
      <c r="O11" s="22"/>
      <c r="P11" s="22"/>
      <c r="Q11" s="22"/>
      <c r="R11" s="22"/>
      <c r="S11" s="22"/>
      <c r="T11" s="23"/>
      <c r="U11" s="23"/>
      <c r="V11" s="23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5"/>
    </row>
    <row r="12" spans="1:41" s="4" customFormat="1" ht="12" customHeight="1">
      <c r="A12" s="4" t="str">
        <f t="shared" ref="A12:A25" si="0">"TEKOA"&amp;"RESIDENTIAL"&amp;B12</f>
        <v>TEKOARESIDENTIALRL032.0G1M001</v>
      </c>
      <c r="B12" s="5" t="s">
        <v>31</v>
      </c>
      <c r="C12" s="5" t="s">
        <v>32</v>
      </c>
      <c r="D12" s="20">
        <v>10.83</v>
      </c>
      <c r="E12" s="20"/>
      <c r="F12" s="21">
        <v>216.6</v>
      </c>
      <c r="G12" s="21">
        <v>216.6</v>
      </c>
      <c r="H12" s="21">
        <v>227.43</v>
      </c>
      <c r="I12" s="21">
        <v>249.09</v>
      </c>
      <c r="J12" s="21">
        <v>238.26</v>
      </c>
      <c r="K12" s="21">
        <v>238.26</v>
      </c>
      <c r="L12" s="23">
        <f t="shared" ref="L12:L25" si="1">SUM(F12:K12)</f>
        <v>1386.24</v>
      </c>
      <c r="M12" s="20"/>
      <c r="N12" s="21">
        <v>227.43</v>
      </c>
      <c r="O12" s="21">
        <v>216.6</v>
      </c>
      <c r="P12" s="21">
        <v>238.26</v>
      </c>
      <c r="Q12" s="21">
        <v>238.26</v>
      </c>
      <c r="R12" s="21">
        <v>235.55</v>
      </c>
      <c r="S12" s="21">
        <v>238.26</v>
      </c>
      <c r="T12" s="23">
        <f t="shared" ref="T12:T25" si="2">SUM(N12:S12)</f>
        <v>1394.36</v>
      </c>
      <c r="U12" s="23"/>
      <c r="V12" s="23">
        <f>L12+T12</f>
        <v>2780.6</v>
      </c>
      <c r="X12" s="22">
        <f t="shared" ref="X12:X22" si="3">IFERROR(F12/$D12,0)</f>
        <v>20</v>
      </c>
      <c r="Y12" s="22">
        <f t="shared" ref="Y12:Y22" si="4">IFERROR(G12/$D12,0)</f>
        <v>20</v>
      </c>
      <c r="Z12" s="22">
        <f t="shared" ref="Z12:Z22" si="5">IFERROR(H12/$D12,0)</f>
        <v>21</v>
      </c>
      <c r="AA12" s="22">
        <f t="shared" ref="AA12:AA22" si="6">IFERROR(I12/$D12,0)</f>
        <v>23</v>
      </c>
      <c r="AB12" s="22">
        <f t="shared" ref="AB12:AB22" si="7">IFERROR(J12/$D12,0)</f>
        <v>22</v>
      </c>
      <c r="AC12" s="22">
        <f t="shared" ref="AC12:AC22" si="8">IFERROR(K12/$D12,0)</f>
        <v>22</v>
      </c>
      <c r="AD12" s="22">
        <f t="shared" ref="AD12:AD22" si="9">IFERROR(N12/$D12,0)</f>
        <v>21</v>
      </c>
      <c r="AE12" s="22">
        <f t="shared" ref="AE12:AE22" si="10">IFERROR(O12/$D12,0)</f>
        <v>20</v>
      </c>
      <c r="AF12" s="22">
        <f t="shared" ref="AF12:AF22" si="11">IFERROR(P12/$D12,0)</f>
        <v>22</v>
      </c>
      <c r="AG12" s="22">
        <f t="shared" ref="AG12:AG22" si="12">IFERROR(Q12/$D12,0)</f>
        <v>22</v>
      </c>
      <c r="AH12" s="22">
        <f t="shared" ref="AH12:AH22" si="13">IFERROR(R12/$D12,0)</f>
        <v>21.749769159741462</v>
      </c>
      <c r="AI12" s="22">
        <f t="shared" ref="AI12:AI22" si="14">IFERROR(S12/$D12,0)</f>
        <v>22</v>
      </c>
      <c r="AJ12" s="82">
        <f>SUM(X12:AI12)/12</f>
        <v>21.395814096645122</v>
      </c>
      <c r="AK12" s="89">
        <v>0</v>
      </c>
      <c r="AL12" s="89">
        <f>SUM(X12:AI12)</f>
        <v>256.74976915974145</v>
      </c>
    </row>
    <row r="13" spans="1:41" s="4" customFormat="1" ht="12" customHeight="1">
      <c r="A13" s="4" t="str">
        <f t="shared" si="0"/>
        <v>TEKOARESIDENTIALRL032.0G1W001</v>
      </c>
      <c r="B13" s="5" t="s">
        <v>33</v>
      </c>
      <c r="C13" s="5" t="s">
        <v>34</v>
      </c>
      <c r="D13" s="20">
        <v>17.079999999999998</v>
      </c>
      <c r="E13" s="20"/>
      <c r="F13" s="21">
        <v>2053.87</v>
      </c>
      <c r="G13" s="21">
        <v>2041.06</v>
      </c>
      <c r="H13" s="21">
        <v>2053.87</v>
      </c>
      <c r="I13" s="21">
        <v>2006.9</v>
      </c>
      <c r="J13" s="21">
        <v>2032.52</v>
      </c>
      <c r="K13" s="21">
        <v>1985.55</v>
      </c>
      <c r="L13" s="23">
        <f t="shared" si="1"/>
        <v>12173.769999999999</v>
      </c>
      <c r="M13" s="20"/>
      <c r="N13" s="21">
        <v>1981.28</v>
      </c>
      <c r="O13" s="21">
        <v>1959.93</v>
      </c>
      <c r="P13" s="21">
        <v>1934.31</v>
      </c>
      <c r="Q13" s="21">
        <v>1836.1</v>
      </c>
      <c r="R13" s="21">
        <v>1917.23</v>
      </c>
      <c r="S13" s="21">
        <v>1977.01</v>
      </c>
      <c r="T13" s="23">
        <f t="shared" si="2"/>
        <v>11605.86</v>
      </c>
      <c r="U13" s="23"/>
      <c r="V13" s="23">
        <f t="shared" ref="V13:V25" si="15">L13+T13</f>
        <v>23779.629999999997</v>
      </c>
      <c r="X13" s="22">
        <f t="shared" si="3"/>
        <v>120.25</v>
      </c>
      <c r="Y13" s="22">
        <f t="shared" si="4"/>
        <v>119.50000000000001</v>
      </c>
      <c r="Z13" s="22">
        <f t="shared" si="5"/>
        <v>120.25</v>
      </c>
      <c r="AA13" s="22">
        <f t="shared" si="6"/>
        <v>117.50000000000001</v>
      </c>
      <c r="AB13" s="22">
        <f t="shared" si="7"/>
        <v>119.00000000000001</v>
      </c>
      <c r="AC13" s="22">
        <f t="shared" si="8"/>
        <v>116.25000000000001</v>
      </c>
      <c r="AD13" s="22">
        <f t="shared" si="9"/>
        <v>116.00000000000001</v>
      </c>
      <c r="AE13" s="22">
        <f t="shared" si="10"/>
        <v>114.75000000000001</v>
      </c>
      <c r="AF13" s="22">
        <f t="shared" si="11"/>
        <v>113.25000000000001</v>
      </c>
      <c r="AG13" s="22">
        <f t="shared" si="12"/>
        <v>107.5</v>
      </c>
      <c r="AH13" s="22">
        <f t="shared" si="13"/>
        <v>112.25000000000001</v>
      </c>
      <c r="AI13" s="22">
        <f t="shared" si="14"/>
        <v>115.75000000000001</v>
      </c>
      <c r="AJ13" s="82">
        <f t="shared" ref="AJ13:AJ22" si="16">SUM(X13:AI13)/12</f>
        <v>116.02083333333333</v>
      </c>
      <c r="AK13" s="89">
        <v>0</v>
      </c>
      <c r="AL13" s="89">
        <f t="shared" ref="AL13:AL22" si="17">SUM(X13:AI13)</f>
        <v>1392.25</v>
      </c>
    </row>
    <row r="14" spans="1:41" s="4" customFormat="1" ht="12" customHeight="1">
      <c r="A14" s="4" t="str">
        <f t="shared" si="0"/>
        <v>TEKOARESIDENTIALRL032.0G1W002</v>
      </c>
      <c r="B14" s="5" t="s">
        <v>35</v>
      </c>
      <c r="C14" s="5" t="s">
        <v>36</v>
      </c>
      <c r="D14" s="20">
        <v>22.67</v>
      </c>
      <c r="E14" s="20"/>
      <c r="F14" s="21">
        <v>294.70999999999998</v>
      </c>
      <c r="G14" s="21">
        <v>334.38</v>
      </c>
      <c r="H14" s="21">
        <v>334.38</v>
      </c>
      <c r="I14" s="21">
        <v>323.05</v>
      </c>
      <c r="J14" s="21">
        <v>317.38</v>
      </c>
      <c r="K14" s="21">
        <v>328.72</v>
      </c>
      <c r="L14" s="23">
        <f t="shared" si="1"/>
        <v>1932.6200000000001</v>
      </c>
      <c r="M14" s="20"/>
      <c r="N14" s="21">
        <v>340.05</v>
      </c>
      <c r="O14" s="21">
        <v>340.05</v>
      </c>
      <c r="P14" s="21">
        <v>351.39</v>
      </c>
      <c r="Q14" s="21">
        <v>385.39</v>
      </c>
      <c r="R14" s="21">
        <v>340.05</v>
      </c>
      <c r="S14" s="21">
        <v>357.05</v>
      </c>
      <c r="T14" s="23">
        <f t="shared" si="2"/>
        <v>2113.98</v>
      </c>
      <c r="U14" s="23"/>
      <c r="V14" s="23">
        <f t="shared" si="15"/>
        <v>4046.6000000000004</v>
      </c>
      <c r="X14" s="22">
        <f t="shared" si="3"/>
        <v>12.999999999999998</v>
      </c>
      <c r="Y14" s="22">
        <f t="shared" si="4"/>
        <v>14.74988972209969</v>
      </c>
      <c r="Z14" s="22">
        <f t="shared" si="5"/>
        <v>14.74988972209969</v>
      </c>
      <c r="AA14" s="22">
        <f t="shared" si="6"/>
        <v>14.250110277900308</v>
      </c>
      <c r="AB14" s="22">
        <f t="shared" si="7"/>
        <v>13.999999999999998</v>
      </c>
      <c r="AC14" s="22">
        <f t="shared" si="8"/>
        <v>14.500220555800619</v>
      </c>
      <c r="AD14" s="22">
        <f t="shared" si="9"/>
        <v>15</v>
      </c>
      <c r="AE14" s="22">
        <f t="shared" si="10"/>
        <v>15</v>
      </c>
      <c r="AF14" s="22">
        <f t="shared" si="11"/>
        <v>15.500220555800615</v>
      </c>
      <c r="AG14" s="22">
        <f t="shared" si="12"/>
        <v>16.999999999999996</v>
      </c>
      <c r="AH14" s="22">
        <f t="shared" si="13"/>
        <v>15</v>
      </c>
      <c r="AI14" s="22">
        <f t="shared" si="14"/>
        <v>15.74988972209969</v>
      </c>
      <c r="AJ14" s="82">
        <f t="shared" si="16"/>
        <v>14.875018379650051</v>
      </c>
      <c r="AK14" s="89">
        <v>0</v>
      </c>
      <c r="AL14" s="89">
        <f t="shared" si="17"/>
        <v>178.50022055580061</v>
      </c>
    </row>
    <row r="15" spans="1:41" s="4" customFormat="1" ht="12" customHeight="1">
      <c r="A15" s="4" t="str">
        <f t="shared" si="0"/>
        <v>TEKOARESIDENTIALRL032.0G1W003</v>
      </c>
      <c r="B15" s="5" t="s">
        <v>37</v>
      </c>
      <c r="C15" s="5" t="s">
        <v>38</v>
      </c>
      <c r="D15" s="20">
        <v>30.04</v>
      </c>
      <c r="E15" s="20"/>
      <c r="F15" s="21">
        <v>0</v>
      </c>
      <c r="G15" s="21">
        <v>0</v>
      </c>
      <c r="H15" s="21">
        <v>0</v>
      </c>
      <c r="I15" s="21">
        <v>30.04</v>
      </c>
      <c r="J15" s="21">
        <v>30.04</v>
      </c>
      <c r="K15" s="21">
        <v>15.02</v>
      </c>
      <c r="L15" s="23">
        <f t="shared" si="1"/>
        <v>75.099999999999994</v>
      </c>
      <c r="M15" s="20"/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3">
        <f t="shared" si="2"/>
        <v>0</v>
      </c>
      <c r="U15" s="23"/>
      <c r="V15" s="23">
        <f t="shared" si="15"/>
        <v>75.099999999999994</v>
      </c>
      <c r="X15" s="22">
        <f t="shared" si="3"/>
        <v>0</v>
      </c>
      <c r="Y15" s="22">
        <f t="shared" si="4"/>
        <v>0</v>
      </c>
      <c r="Z15" s="22">
        <f t="shared" si="5"/>
        <v>0</v>
      </c>
      <c r="AA15" s="22">
        <f t="shared" si="6"/>
        <v>1</v>
      </c>
      <c r="AB15" s="22">
        <f t="shared" si="7"/>
        <v>1</v>
      </c>
      <c r="AC15" s="22">
        <f t="shared" si="8"/>
        <v>0.5</v>
      </c>
      <c r="AD15" s="22">
        <f t="shared" si="9"/>
        <v>0</v>
      </c>
      <c r="AE15" s="22">
        <f t="shared" si="10"/>
        <v>0</v>
      </c>
      <c r="AF15" s="22">
        <f t="shared" si="11"/>
        <v>0</v>
      </c>
      <c r="AG15" s="22">
        <f t="shared" si="12"/>
        <v>0</v>
      </c>
      <c r="AH15" s="22">
        <f t="shared" si="13"/>
        <v>0</v>
      </c>
      <c r="AI15" s="22">
        <f t="shared" si="14"/>
        <v>0</v>
      </c>
      <c r="AJ15" s="82">
        <f t="shared" si="16"/>
        <v>0.20833333333333334</v>
      </c>
      <c r="AK15" s="89">
        <v>0</v>
      </c>
      <c r="AL15" s="89">
        <f t="shared" si="17"/>
        <v>2.5</v>
      </c>
    </row>
    <row r="16" spans="1:41" s="4" customFormat="1" ht="12" customHeight="1">
      <c r="A16" s="4" t="str">
        <f t="shared" si="0"/>
        <v>TEKOARESIDENTIALRL065.0G1W001</v>
      </c>
      <c r="B16" s="5" t="s">
        <v>39</v>
      </c>
      <c r="C16" s="5" t="s">
        <v>40</v>
      </c>
      <c r="D16" s="20">
        <v>24.32</v>
      </c>
      <c r="E16" s="20"/>
      <c r="F16" s="21">
        <v>24.32</v>
      </c>
      <c r="G16" s="21">
        <v>24.32</v>
      </c>
      <c r="H16" s="21">
        <v>24.32</v>
      </c>
      <c r="I16" s="21">
        <v>24.32</v>
      </c>
      <c r="J16" s="21">
        <v>24.32</v>
      </c>
      <c r="K16" s="21">
        <v>24.32</v>
      </c>
      <c r="L16" s="23">
        <f t="shared" si="1"/>
        <v>145.91999999999999</v>
      </c>
      <c r="M16" s="20"/>
      <c r="N16" s="21">
        <v>24.32</v>
      </c>
      <c r="O16" s="21">
        <v>12.16</v>
      </c>
      <c r="P16" s="21">
        <v>0</v>
      </c>
      <c r="Q16" s="21">
        <v>0</v>
      </c>
      <c r="R16" s="21">
        <v>0</v>
      </c>
      <c r="S16" s="21">
        <v>0</v>
      </c>
      <c r="T16" s="23">
        <f t="shared" si="2"/>
        <v>36.480000000000004</v>
      </c>
      <c r="U16" s="23"/>
      <c r="V16" s="23">
        <f t="shared" si="15"/>
        <v>182.39999999999998</v>
      </c>
      <c r="X16" s="22">
        <f t="shared" si="3"/>
        <v>1</v>
      </c>
      <c r="Y16" s="22">
        <f t="shared" si="4"/>
        <v>1</v>
      </c>
      <c r="Z16" s="22">
        <f t="shared" si="5"/>
        <v>1</v>
      </c>
      <c r="AA16" s="22">
        <f t="shared" si="6"/>
        <v>1</v>
      </c>
      <c r="AB16" s="22">
        <f t="shared" si="7"/>
        <v>1</v>
      </c>
      <c r="AC16" s="22">
        <f t="shared" si="8"/>
        <v>1</v>
      </c>
      <c r="AD16" s="22">
        <f t="shared" si="9"/>
        <v>1</v>
      </c>
      <c r="AE16" s="22">
        <f t="shared" si="10"/>
        <v>0.5</v>
      </c>
      <c r="AF16" s="22">
        <f t="shared" si="11"/>
        <v>0</v>
      </c>
      <c r="AG16" s="22">
        <f t="shared" si="12"/>
        <v>0</v>
      </c>
      <c r="AH16" s="22">
        <f t="shared" si="13"/>
        <v>0</v>
      </c>
      <c r="AI16" s="22">
        <f t="shared" si="14"/>
        <v>0</v>
      </c>
      <c r="AJ16" s="82">
        <f t="shared" si="16"/>
        <v>0.625</v>
      </c>
      <c r="AK16" s="89">
        <f>+AJ16</f>
        <v>0.625</v>
      </c>
      <c r="AL16" s="89">
        <f t="shared" si="17"/>
        <v>7.5</v>
      </c>
    </row>
    <row r="17" spans="1:38" s="4" customFormat="1" ht="12" customHeight="1">
      <c r="A17" s="4" t="str">
        <f t="shared" si="0"/>
        <v>TEKOARESIDENTIALRL090.0G1W001</v>
      </c>
      <c r="B17" s="5" t="s">
        <v>43</v>
      </c>
      <c r="C17" s="5" t="s">
        <v>44</v>
      </c>
      <c r="D17" s="20">
        <v>30.04</v>
      </c>
      <c r="E17" s="20"/>
      <c r="F17" s="21">
        <v>3755</v>
      </c>
      <c r="G17" s="21">
        <v>3717.45</v>
      </c>
      <c r="H17" s="21">
        <v>3770.02</v>
      </c>
      <c r="I17" s="21">
        <v>3717.45</v>
      </c>
      <c r="J17" s="21">
        <v>3672.39</v>
      </c>
      <c r="K17" s="21">
        <v>3664.88</v>
      </c>
      <c r="L17" s="23">
        <f t="shared" si="1"/>
        <v>22297.19</v>
      </c>
      <c r="M17" s="20"/>
      <c r="N17" s="21">
        <v>3619.82</v>
      </c>
      <c r="O17" s="21">
        <v>3574.7599999999998</v>
      </c>
      <c r="P17" s="21">
        <v>3619.82</v>
      </c>
      <c r="Q17" s="21">
        <v>3679.9</v>
      </c>
      <c r="R17" s="21">
        <v>3717.45</v>
      </c>
      <c r="S17" s="21">
        <v>3732.47</v>
      </c>
      <c r="T17" s="23">
        <f t="shared" si="2"/>
        <v>21944.22</v>
      </c>
      <c r="U17" s="23"/>
      <c r="V17" s="23">
        <f t="shared" si="15"/>
        <v>44241.41</v>
      </c>
      <c r="X17" s="22">
        <f t="shared" si="3"/>
        <v>125</v>
      </c>
      <c r="Y17" s="22">
        <f t="shared" si="4"/>
        <v>123.75</v>
      </c>
      <c r="Z17" s="22">
        <f t="shared" si="5"/>
        <v>125.5</v>
      </c>
      <c r="AA17" s="22">
        <f t="shared" si="6"/>
        <v>123.75</v>
      </c>
      <c r="AB17" s="22">
        <f t="shared" si="7"/>
        <v>122.25</v>
      </c>
      <c r="AC17" s="22">
        <f t="shared" si="8"/>
        <v>122</v>
      </c>
      <c r="AD17" s="22">
        <f t="shared" si="9"/>
        <v>120.50000000000001</v>
      </c>
      <c r="AE17" s="22">
        <f t="shared" si="10"/>
        <v>119</v>
      </c>
      <c r="AF17" s="22">
        <f t="shared" si="11"/>
        <v>120.50000000000001</v>
      </c>
      <c r="AG17" s="22">
        <f t="shared" si="12"/>
        <v>122.5</v>
      </c>
      <c r="AH17" s="22">
        <f t="shared" si="13"/>
        <v>123.75</v>
      </c>
      <c r="AI17" s="22">
        <f t="shared" si="14"/>
        <v>124.25</v>
      </c>
      <c r="AJ17" s="82">
        <f t="shared" si="16"/>
        <v>122.72916666666667</v>
      </c>
      <c r="AK17" s="89">
        <f>+AJ17</f>
        <v>122.72916666666667</v>
      </c>
      <c r="AL17" s="89">
        <f t="shared" si="17"/>
        <v>1472.75</v>
      </c>
    </row>
    <row r="18" spans="1:38" s="4" customFormat="1" ht="12" customHeight="1">
      <c r="A18" s="4" t="str">
        <f t="shared" si="0"/>
        <v>TEKOARESIDENTIALRL090.0G1W002</v>
      </c>
      <c r="B18" s="5" t="s">
        <v>45</v>
      </c>
      <c r="C18" s="5" t="s">
        <v>46</v>
      </c>
      <c r="D18" s="20">
        <v>60.08</v>
      </c>
      <c r="E18" s="20"/>
      <c r="F18" s="21">
        <v>75.099999999999994</v>
      </c>
      <c r="G18" s="21">
        <v>60.08</v>
      </c>
      <c r="H18" s="21">
        <v>60.08</v>
      </c>
      <c r="I18" s="21">
        <v>60.08</v>
      </c>
      <c r="J18" s="21">
        <v>60.08</v>
      </c>
      <c r="K18" s="21">
        <v>60.08</v>
      </c>
      <c r="L18" s="23">
        <f t="shared" si="1"/>
        <v>375.49999999999994</v>
      </c>
      <c r="M18" s="20"/>
      <c r="N18" s="21">
        <v>60.08</v>
      </c>
      <c r="O18" s="21">
        <v>60.08</v>
      </c>
      <c r="P18" s="21">
        <v>60.08</v>
      </c>
      <c r="Q18" s="21">
        <v>60.08</v>
      </c>
      <c r="R18" s="21">
        <v>60.08</v>
      </c>
      <c r="S18" s="21">
        <v>60.08</v>
      </c>
      <c r="T18" s="23">
        <f t="shared" si="2"/>
        <v>360.47999999999996</v>
      </c>
      <c r="U18" s="23"/>
      <c r="V18" s="23">
        <f t="shared" si="15"/>
        <v>735.9799999999999</v>
      </c>
      <c r="X18" s="22">
        <f t="shared" si="3"/>
        <v>1.25</v>
      </c>
      <c r="Y18" s="22">
        <f t="shared" si="4"/>
        <v>1</v>
      </c>
      <c r="Z18" s="22">
        <f t="shared" si="5"/>
        <v>1</v>
      </c>
      <c r="AA18" s="22">
        <f t="shared" si="6"/>
        <v>1</v>
      </c>
      <c r="AB18" s="22">
        <f t="shared" si="7"/>
        <v>1</v>
      </c>
      <c r="AC18" s="22">
        <f t="shared" si="8"/>
        <v>1</v>
      </c>
      <c r="AD18" s="22">
        <f t="shared" si="9"/>
        <v>1</v>
      </c>
      <c r="AE18" s="22">
        <f t="shared" si="10"/>
        <v>1</v>
      </c>
      <c r="AF18" s="22">
        <f t="shared" si="11"/>
        <v>1</v>
      </c>
      <c r="AG18" s="22">
        <f t="shared" si="12"/>
        <v>1</v>
      </c>
      <c r="AH18" s="22">
        <f t="shared" si="13"/>
        <v>1</v>
      </c>
      <c r="AI18" s="22">
        <f t="shared" si="14"/>
        <v>1</v>
      </c>
      <c r="AJ18" s="82">
        <f t="shared" si="16"/>
        <v>1.0208333333333333</v>
      </c>
      <c r="AK18" s="89">
        <f>+AJ18*2</f>
        <v>2.0416666666666665</v>
      </c>
      <c r="AL18" s="89">
        <f t="shared" si="17"/>
        <v>12.25</v>
      </c>
    </row>
    <row r="19" spans="1:38" s="4" customFormat="1" ht="12" customHeight="1">
      <c r="A19" s="4" t="str">
        <f t="shared" si="0"/>
        <v>TEKOARESIDENTIALEXTRA-RES</v>
      </c>
      <c r="B19" s="5" t="s">
        <v>51</v>
      </c>
      <c r="C19" s="5" t="s">
        <v>52</v>
      </c>
      <c r="D19" s="20">
        <v>3.91</v>
      </c>
      <c r="E19" s="20"/>
      <c r="F19" s="21">
        <v>430.1</v>
      </c>
      <c r="G19" s="21">
        <v>269.79000000000002</v>
      </c>
      <c r="H19" s="21">
        <v>279.57</v>
      </c>
      <c r="I19" s="21">
        <v>289.33999999999997</v>
      </c>
      <c r="J19" s="21">
        <v>340.17</v>
      </c>
      <c r="K19" s="21">
        <v>410.55</v>
      </c>
      <c r="L19" s="23">
        <f t="shared" si="1"/>
        <v>2019.52</v>
      </c>
      <c r="M19" s="20"/>
      <c r="N19" s="21">
        <v>195.5</v>
      </c>
      <c r="O19" s="21">
        <v>218.96</v>
      </c>
      <c r="P19" s="21">
        <v>304.98</v>
      </c>
      <c r="Q19" s="21">
        <v>293.25</v>
      </c>
      <c r="R19" s="21">
        <v>281.52</v>
      </c>
      <c r="S19" s="21">
        <v>387.09</v>
      </c>
      <c r="T19" s="23">
        <f t="shared" si="2"/>
        <v>1681.3</v>
      </c>
      <c r="U19" s="23"/>
      <c r="V19" s="23">
        <f t="shared" si="15"/>
        <v>3700.8199999999997</v>
      </c>
      <c r="X19" s="22">
        <f t="shared" si="3"/>
        <v>110</v>
      </c>
      <c r="Y19" s="22">
        <f t="shared" si="4"/>
        <v>69</v>
      </c>
      <c r="Z19" s="22">
        <f t="shared" si="5"/>
        <v>71.501278772378512</v>
      </c>
      <c r="AA19" s="22">
        <f t="shared" si="6"/>
        <v>73.999999999999986</v>
      </c>
      <c r="AB19" s="22">
        <f t="shared" si="7"/>
        <v>87</v>
      </c>
      <c r="AC19" s="22">
        <f t="shared" si="8"/>
        <v>105</v>
      </c>
      <c r="AD19" s="22">
        <f t="shared" si="9"/>
        <v>50</v>
      </c>
      <c r="AE19" s="22">
        <f t="shared" si="10"/>
        <v>56</v>
      </c>
      <c r="AF19" s="22">
        <f t="shared" si="11"/>
        <v>78</v>
      </c>
      <c r="AG19" s="22">
        <f t="shared" si="12"/>
        <v>75</v>
      </c>
      <c r="AH19" s="22">
        <f t="shared" si="13"/>
        <v>71.999999999999986</v>
      </c>
      <c r="AI19" s="22">
        <f t="shared" si="14"/>
        <v>98.999999999999986</v>
      </c>
      <c r="AJ19" s="82">
        <f t="shared" si="16"/>
        <v>78.875106564364884</v>
      </c>
      <c r="AK19" s="89"/>
      <c r="AL19" s="89">
        <f t="shared" si="17"/>
        <v>946.50127877237856</v>
      </c>
    </row>
    <row r="20" spans="1:38" s="4" customFormat="1" ht="12" customHeight="1">
      <c r="A20" s="4" t="str">
        <f t="shared" si="0"/>
        <v>TEKOARESIDENTIALEXTRYDG-RES</v>
      </c>
      <c r="B20" s="5" t="s">
        <v>53</v>
      </c>
      <c r="C20" s="5" t="s">
        <v>54</v>
      </c>
      <c r="D20" s="20">
        <v>19.559999999999999</v>
      </c>
      <c r="E20" s="20"/>
      <c r="F20" s="21">
        <v>9.7799999999999994</v>
      </c>
      <c r="G20" s="21">
        <v>0</v>
      </c>
      <c r="H20" s="21">
        <v>0</v>
      </c>
      <c r="I20" s="21">
        <v>9.7799999999999994</v>
      </c>
      <c r="J20" s="21">
        <v>9.7799999999999994</v>
      </c>
      <c r="K20" s="21">
        <v>9.7799999999999994</v>
      </c>
      <c r="L20" s="23">
        <f t="shared" si="1"/>
        <v>39.119999999999997</v>
      </c>
      <c r="M20" s="20"/>
      <c r="N20" s="21">
        <v>19.559999999999999</v>
      </c>
      <c r="O20" s="21">
        <v>9.7799999999999994</v>
      </c>
      <c r="P20" s="21">
        <v>48.9</v>
      </c>
      <c r="Q20" s="21">
        <v>19.559999999999999</v>
      </c>
      <c r="R20" s="21">
        <v>19.559999999999999</v>
      </c>
      <c r="S20" s="21">
        <v>48.9</v>
      </c>
      <c r="T20" s="23">
        <f t="shared" si="2"/>
        <v>166.26</v>
      </c>
      <c r="U20" s="23"/>
      <c r="V20" s="23">
        <f t="shared" si="15"/>
        <v>205.38</v>
      </c>
      <c r="X20" s="22">
        <f t="shared" si="3"/>
        <v>0.5</v>
      </c>
      <c r="Y20" s="22">
        <f t="shared" si="4"/>
        <v>0</v>
      </c>
      <c r="Z20" s="22">
        <f t="shared" si="5"/>
        <v>0</v>
      </c>
      <c r="AA20" s="22">
        <f t="shared" si="6"/>
        <v>0.5</v>
      </c>
      <c r="AB20" s="22">
        <f t="shared" si="7"/>
        <v>0.5</v>
      </c>
      <c r="AC20" s="22">
        <f t="shared" si="8"/>
        <v>0.5</v>
      </c>
      <c r="AD20" s="22">
        <f t="shared" si="9"/>
        <v>1</v>
      </c>
      <c r="AE20" s="22">
        <f t="shared" si="10"/>
        <v>0.5</v>
      </c>
      <c r="AF20" s="22">
        <f t="shared" si="11"/>
        <v>2.5</v>
      </c>
      <c r="AG20" s="22">
        <f t="shared" si="12"/>
        <v>1</v>
      </c>
      <c r="AH20" s="22">
        <f t="shared" si="13"/>
        <v>1</v>
      </c>
      <c r="AI20" s="22">
        <f t="shared" si="14"/>
        <v>2.5</v>
      </c>
      <c r="AJ20" s="82">
        <f t="shared" si="16"/>
        <v>0.875</v>
      </c>
      <c r="AK20" s="89"/>
      <c r="AL20" s="89">
        <f t="shared" si="17"/>
        <v>10.5</v>
      </c>
    </row>
    <row r="21" spans="1:38" s="4" customFormat="1" ht="12" customHeight="1">
      <c r="A21" s="4" t="str">
        <f t="shared" si="0"/>
        <v>TEKOARESIDENTIALOS-RES</v>
      </c>
      <c r="B21" s="5" t="s">
        <v>57</v>
      </c>
      <c r="C21" s="5" t="s">
        <v>58</v>
      </c>
      <c r="D21" s="20">
        <v>3.91</v>
      </c>
      <c r="E21" s="20"/>
      <c r="F21" s="21">
        <v>0</v>
      </c>
      <c r="G21" s="21">
        <v>3.91</v>
      </c>
      <c r="H21" s="21">
        <v>0</v>
      </c>
      <c r="I21" s="21">
        <v>0</v>
      </c>
      <c r="J21" s="21">
        <v>0</v>
      </c>
      <c r="K21" s="21">
        <v>0</v>
      </c>
      <c r="L21" s="23">
        <f t="shared" si="1"/>
        <v>3.91</v>
      </c>
      <c r="M21" s="20"/>
      <c r="N21" s="21">
        <v>0</v>
      </c>
      <c r="O21" s="21">
        <v>0</v>
      </c>
      <c r="P21" s="21">
        <v>0</v>
      </c>
      <c r="Q21" s="21">
        <v>3.91</v>
      </c>
      <c r="R21" s="21">
        <v>0</v>
      </c>
      <c r="S21" s="21">
        <v>0</v>
      </c>
      <c r="T21" s="23">
        <f t="shared" si="2"/>
        <v>3.91</v>
      </c>
      <c r="U21" s="23"/>
      <c r="V21" s="23">
        <f t="shared" si="15"/>
        <v>7.82</v>
      </c>
      <c r="X21" s="22">
        <f t="shared" si="3"/>
        <v>0</v>
      </c>
      <c r="Y21" s="22">
        <f t="shared" si="4"/>
        <v>1</v>
      </c>
      <c r="Z21" s="22">
        <f t="shared" si="5"/>
        <v>0</v>
      </c>
      <c r="AA21" s="22">
        <f t="shared" si="6"/>
        <v>0</v>
      </c>
      <c r="AB21" s="22">
        <f t="shared" si="7"/>
        <v>0</v>
      </c>
      <c r="AC21" s="22">
        <f t="shared" si="8"/>
        <v>0</v>
      </c>
      <c r="AD21" s="22">
        <f t="shared" si="9"/>
        <v>0</v>
      </c>
      <c r="AE21" s="22">
        <f t="shared" si="10"/>
        <v>0</v>
      </c>
      <c r="AF21" s="22">
        <f t="shared" si="11"/>
        <v>0</v>
      </c>
      <c r="AG21" s="22">
        <f t="shared" si="12"/>
        <v>1</v>
      </c>
      <c r="AH21" s="22">
        <f t="shared" si="13"/>
        <v>0</v>
      </c>
      <c r="AI21" s="22">
        <f t="shared" si="14"/>
        <v>0</v>
      </c>
      <c r="AJ21" s="82">
        <f t="shared" si="16"/>
        <v>0.16666666666666666</v>
      </c>
      <c r="AK21" s="89"/>
      <c r="AL21" s="89">
        <f t="shared" si="17"/>
        <v>2</v>
      </c>
    </row>
    <row r="22" spans="1:38" s="4" customFormat="1" ht="12" customHeight="1">
      <c r="A22" s="4" t="str">
        <f t="shared" si="0"/>
        <v>TEKOARESIDENTIALOW-RES</v>
      </c>
      <c r="B22" s="5" t="s">
        <v>59</v>
      </c>
      <c r="C22" s="5" t="s">
        <v>60</v>
      </c>
      <c r="D22" s="20">
        <v>3.91</v>
      </c>
      <c r="E22" s="20"/>
      <c r="F22" s="21">
        <v>3.91</v>
      </c>
      <c r="G22" s="21">
        <v>3.91</v>
      </c>
      <c r="H22" s="21">
        <v>0</v>
      </c>
      <c r="I22" s="21">
        <v>0</v>
      </c>
      <c r="J22" s="21">
        <v>15.64</v>
      </c>
      <c r="K22" s="21">
        <v>0</v>
      </c>
      <c r="L22" s="23">
        <f t="shared" si="1"/>
        <v>23.46</v>
      </c>
      <c r="M22" s="20"/>
      <c r="N22" s="21">
        <v>3.91</v>
      </c>
      <c r="O22" s="21">
        <v>0</v>
      </c>
      <c r="P22" s="21">
        <v>3.91</v>
      </c>
      <c r="Q22" s="21">
        <v>3.91</v>
      </c>
      <c r="R22" s="21">
        <v>0</v>
      </c>
      <c r="S22" s="21">
        <v>0</v>
      </c>
      <c r="T22" s="23">
        <f t="shared" si="2"/>
        <v>11.73</v>
      </c>
      <c r="U22" s="23"/>
      <c r="V22" s="23">
        <f t="shared" si="15"/>
        <v>35.19</v>
      </c>
      <c r="X22" s="22">
        <f t="shared" si="3"/>
        <v>1</v>
      </c>
      <c r="Y22" s="22">
        <f t="shared" si="4"/>
        <v>1</v>
      </c>
      <c r="Z22" s="22">
        <f t="shared" si="5"/>
        <v>0</v>
      </c>
      <c r="AA22" s="22">
        <f t="shared" si="6"/>
        <v>0</v>
      </c>
      <c r="AB22" s="22">
        <f t="shared" si="7"/>
        <v>4</v>
      </c>
      <c r="AC22" s="22">
        <f t="shared" si="8"/>
        <v>0</v>
      </c>
      <c r="AD22" s="22">
        <f t="shared" si="9"/>
        <v>1</v>
      </c>
      <c r="AE22" s="22">
        <f t="shared" si="10"/>
        <v>0</v>
      </c>
      <c r="AF22" s="22">
        <f t="shared" si="11"/>
        <v>1</v>
      </c>
      <c r="AG22" s="22">
        <f t="shared" si="12"/>
        <v>1</v>
      </c>
      <c r="AH22" s="22">
        <f t="shared" si="13"/>
        <v>0</v>
      </c>
      <c r="AI22" s="22">
        <f t="shared" si="14"/>
        <v>0</v>
      </c>
      <c r="AJ22" s="82">
        <f t="shared" si="16"/>
        <v>0.75</v>
      </c>
      <c r="AK22" s="89"/>
      <c r="AL22" s="89">
        <f t="shared" si="17"/>
        <v>9</v>
      </c>
    </row>
    <row r="23" spans="1:38" s="2" customFormat="1" ht="12" customHeight="1">
      <c r="A23" s="4" t="str">
        <f t="shared" si="0"/>
        <v>TEKOARESIDENTIALBULKY-RES</v>
      </c>
      <c r="B23" s="5" t="s">
        <v>55</v>
      </c>
      <c r="C23" s="5" t="s">
        <v>56</v>
      </c>
      <c r="D23" s="20">
        <v>19.559999999999999</v>
      </c>
      <c r="E23" s="20"/>
      <c r="F23" s="21">
        <v>0</v>
      </c>
      <c r="G23" s="21">
        <v>19.559999999999999</v>
      </c>
      <c r="H23" s="21">
        <v>19.559999999999999</v>
      </c>
      <c r="I23" s="21">
        <v>0</v>
      </c>
      <c r="J23" s="21">
        <v>0</v>
      </c>
      <c r="K23" s="21">
        <v>0</v>
      </c>
      <c r="L23" s="23">
        <f t="shared" si="1"/>
        <v>39.119999999999997</v>
      </c>
      <c r="M23" s="20"/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3">
        <f t="shared" si="2"/>
        <v>0</v>
      </c>
      <c r="U23" s="23"/>
      <c r="V23" s="23">
        <f t="shared" si="15"/>
        <v>39.119999999999997</v>
      </c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</row>
    <row r="24" spans="1:38" s="2" customFormat="1" ht="12" customHeight="1">
      <c r="A24" s="4" t="str">
        <f t="shared" si="0"/>
        <v>TEKOARESIDENTIALDIST-RES</v>
      </c>
      <c r="B24" s="5" t="s">
        <v>61</v>
      </c>
      <c r="C24" s="5" t="s">
        <v>62</v>
      </c>
      <c r="D24" s="20">
        <v>6.93</v>
      </c>
      <c r="E24" s="20"/>
      <c r="F24" s="21">
        <v>20.79</v>
      </c>
      <c r="G24" s="21">
        <v>13.86</v>
      </c>
      <c r="H24" s="21">
        <v>13.86</v>
      </c>
      <c r="I24" s="21">
        <v>13.86</v>
      </c>
      <c r="J24" s="21">
        <v>13.86</v>
      </c>
      <c r="K24" s="21">
        <v>13.86</v>
      </c>
      <c r="L24" s="23">
        <f t="shared" si="1"/>
        <v>90.089999999999989</v>
      </c>
      <c r="M24" s="20"/>
      <c r="N24" s="21">
        <v>13.86</v>
      </c>
      <c r="O24" s="21">
        <v>13.86</v>
      </c>
      <c r="P24" s="21">
        <v>13.86</v>
      </c>
      <c r="Q24" s="21">
        <v>13.86</v>
      </c>
      <c r="R24" s="21">
        <v>13.86</v>
      </c>
      <c r="S24" s="21">
        <v>13.86</v>
      </c>
      <c r="T24" s="23">
        <f t="shared" si="2"/>
        <v>83.16</v>
      </c>
      <c r="U24" s="23"/>
      <c r="V24" s="23">
        <f t="shared" si="15"/>
        <v>173.25</v>
      </c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8" s="4" customFormat="1" ht="12" customHeight="1">
      <c r="A25" s="4" t="str">
        <f t="shared" si="0"/>
        <v>TEKOARESIDENTIALWI1-RES</v>
      </c>
      <c r="B25" s="5" t="s">
        <v>509</v>
      </c>
      <c r="C25" s="5" t="s">
        <v>510</v>
      </c>
      <c r="D25" s="20">
        <v>6.92</v>
      </c>
      <c r="E25" s="20"/>
      <c r="F25" s="21">
        <v>0</v>
      </c>
      <c r="G25" s="21">
        <v>0</v>
      </c>
      <c r="H25" s="21">
        <v>0</v>
      </c>
      <c r="I25" s="21">
        <v>0</v>
      </c>
      <c r="J25" s="21">
        <v>3.46</v>
      </c>
      <c r="K25" s="21">
        <v>3.46</v>
      </c>
      <c r="L25" s="23">
        <f t="shared" si="1"/>
        <v>6.92</v>
      </c>
      <c r="M25" s="20"/>
      <c r="N25" s="21">
        <v>0</v>
      </c>
      <c r="O25" s="21">
        <v>5.19</v>
      </c>
      <c r="P25" s="21">
        <v>6.92</v>
      </c>
      <c r="Q25" s="21">
        <v>6.92</v>
      </c>
      <c r="R25" s="21">
        <v>6.92</v>
      </c>
      <c r="S25" s="21">
        <v>6.92</v>
      </c>
      <c r="T25" s="23">
        <f t="shared" si="2"/>
        <v>32.870000000000005</v>
      </c>
      <c r="U25" s="23"/>
      <c r="V25" s="23">
        <f t="shared" si="15"/>
        <v>39.790000000000006</v>
      </c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5"/>
    </row>
    <row r="26" spans="1:38" s="4" customFormat="1" ht="12" customHeight="1" thickBot="1">
      <c r="B26" s="24"/>
      <c r="C26" s="24"/>
      <c r="D26" s="20"/>
      <c r="E26" s="20"/>
      <c r="F26" s="22"/>
      <c r="G26" s="22"/>
      <c r="H26" s="22"/>
      <c r="I26" s="22"/>
      <c r="J26" s="22"/>
      <c r="K26" s="22"/>
      <c r="L26" s="23"/>
      <c r="M26" s="20"/>
      <c r="N26" s="22"/>
      <c r="O26" s="22"/>
      <c r="P26" s="22"/>
      <c r="Q26" s="22"/>
      <c r="R26" s="22"/>
      <c r="S26" s="22"/>
      <c r="T26" s="23"/>
      <c r="U26" s="23"/>
      <c r="V26" s="23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5"/>
    </row>
    <row r="27" spans="1:38" s="2" customFormat="1" ht="12" customHeight="1" thickBot="1">
      <c r="B27" s="25"/>
      <c r="C27" s="26" t="s">
        <v>8</v>
      </c>
      <c r="D27" s="20"/>
      <c r="E27" s="20"/>
      <c r="F27" s="27">
        <f t="shared" ref="F27:L27" si="18">SUM(F12:F26)</f>
        <v>6884.18</v>
      </c>
      <c r="G27" s="27">
        <f t="shared" si="18"/>
        <v>6704.9199999999992</v>
      </c>
      <c r="H27" s="27">
        <f t="shared" si="18"/>
        <v>6783.09</v>
      </c>
      <c r="I27" s="27">
        <f t="shared" si="18"/>
        <v>6723.91</v>
      </c>
      <c r="J27" s="27">
        <f t="shared" si="18"/>
        <v>6757.9</v>
      </c>
      <c r="K27" s="27">
        <f t="shared" si="18"/>
        <v>6754.48</v>
      </c>
      <c r="L27" s="27">
        <f t="shared" si="18"/>
        <v>40608.479999999996</v>
      </c>
      <c r="M27" s="20"/>
      <c r="N27" s="27">
        <f t="shared" ref="N27:T27" si="19">SUM(N12:N26)</f>
        <v>6485.81</v>
      </c>
      <c r="O27" s="27">
        <f t="shared" si="19"/>
        <v>6411.369999999999</v>
      </c>
      <c r="P27" s="27">
        <f t="shared" si="19"/>
        <v>6582.4299999999994</v>
      </c>
      <c r="Q27" s="27">
        <f t="shared" si="19"/>
        <v>6541.1399999999994</v>
      </c>
      <c r="R27" s="27">
        <f t="shared" si="19"/>
        <v>6592.2200000000012</v>
      </c>
      <c r="S27" s="27">
        <f t="shared" si="19"/>
        <v>6821.6399999999994</v>
      </c>
      <c r="T27" s="27">
        <f t="shared" si="19"/>
        <v>39434.610000000022</v>
      </c>
      <c r="U27" s="43"/>
      <c r="V27" s="27">
        <f>SUM(V12:V26)</f>
        <v>80043.089999999982</v>
      </c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85">
        <f>SUM(AJ12:AJ18)</f>
        <v>276.87499914296183</v>
      </c>
    </row>
    <row r="28" spans="1:38" s="4" customFormat="1" ht="12" customHeight="1">
      <c r="D28" s="20"/>
      <c r="E28" s="20"/>
      <c r="H28" s="2"/>
      <c r="L28" s="23"/>
      <c r="M28" s="20"/>
      <c r="P28" s="2"/>
      <c r="T28" s="23"/>
      <c r="U28" s="23"/>
      <c r="V28" s="23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5"/>
    </row>
    <row r="29" spans="1:38" ht="12" customHeight="1">
      <c r="B29" s="33" t="s">
        <v>11</v>
      </c>
      <c r="C29" s="33" t="s">
        <v>11</v>
      </c>
    </row>
    <row r="30" spans="1:38" ht="12" customHeight="1">
      <c r="B30" s="33"/>
      <c r="C30" s="33"/>
    </row>
    <row r="31" spans="1:38" s="4" customFormat="1" ht="12" customHeight="1">
      <c r="B31" s="19" t="s">
        <v>12</v>
      </c>
      <c r="C31" s="19" t="s">
        <v>12</v>
      </c>
      <c r="D31" s="20"/>
      <c r="E31" s="20"/>
      <c r="L31" s="23"/>
      <c r="M31" s="20"/>
      <c r="T31" s="23"/>
      <c r="U31" s="23"/>
      <c r="V31" s="23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5"/>
    </row>
    <row r="32" spans="1:38" s="4" customFormat="1" ht="12" customHeight="1">
      <c r="A32" s="4" t="str">
        <f>"TEKOA"&amp;"COMMERCIAL"&amp;B32</f>
        <v>TEKOACOMMERCIALRL001.0Y1W001</v>
      </c>
      <c r="B32" s="5" t="s">
        <v>67</v>
      </c>
      <c r="C32" s="5" t="s">
        <v>68</v>
      </c>
      <c r="D32" s="20">
        <v>63.73</v>
      </c>
      <c r="E32" s="20"/>
      <c r="F32" s="21">
        <v>127.46</v>
      </c>
      <c r="G32" s="21">
        <v>127.46</v>
      </c>
      <c r="H32" s="21">
        <v>127.46</v>
      </c>
      <c r="I32" s="21">
        <v>127.46</v>
      </c>
      <c r="J32" s="21">
        <v>127.46</v>
      </c>
      <c r="K32" s="21">
        <v>127.46</v>
      </c>
      <c r="L32" s="23">
        <f t="shared" ref="L32:L56" si="20">SUM(F32:K32)</f>
        <v>764.76</v>
      </c>
      <c r="M32" s="20"/>
      <c r="N32" s="21">
        <v>127.46</v>
      </c>
      <c r="O32" s="21">
        <v>127.46</v>
      </c>
      <c r="P32" s="21">
        <v>127.46</v>
      </c>
      <c r="Q32" s="21">
        <v>127.46</v>
      </c>
      <c r="R32" s="21">
        <v>127.46</v>
      </c>
      <c r="S32" s="21">
        <v>127.46</v>
      </c>
      <c r="T32" s="23">
        <f t="shared" ref="T32:T45" si="21">SUM(N32:S32)</f>
        <v>764.76</v>
      </c>
      <c r="U32" s="23"/>
      <c r="V32" s="23">
        <f t="shared" ref="V32:V61" si="22">L32+T32</f>
        <v>1529.52</v>
      </c>
      <c r="X32" s="22">
        <f>IFERROR(F32/$D32,0)</f>
        <v>2</v>
      </c>
      <c r="Y32" s="22">
        <f t="shared" ref="Y32:AC32" si="23">IFERROR(G32/$D32,0)</f>
        <v>2</v>
      </c>
      <c r="Z32" s="22">
        <f t="shared" si="23"/>
        <v>2</v>
      </c>
      <c r="AA32" s="22">
        <f t="shared" si="23"/>
        <v>2</v>
      </c>
      <c r="AB32" s="22">
        <f t="shared" si="23"/>
        <v>2</v>
      </c>
      <c r="AC32" s="22">
        <f t="shared" si="23"/>
        <v>2</v>
      </c>
      <c r="AD32" s="22">
        <f>IFERROR(N32/$D32,0)</f>
        <v>2</v>
      </c>
      <c r="AE32" s="22">
        <f t="shared" ref="AE32:AI32" si="24">IFERROR(O32/$D32,0)</f>
        <v>2</v>
      </c>
      <c r="AF32" s="22">
        <f t="shared" si="24"/>
        <v>2</v>
      </c>
      <c r="AG32" s="22">
        <f t="shared" si="24"/>
        <v>2</v>
      </c>
      <c r="AH32" s="22">
        <f t="shared" si="24"/>
        <v>2</v>
      </c>
      <c r="AI32" s="22">
        <f t="shared" si="24"/>
        <v>2</v>
      </c>
      <c r="AJ32" s="82">
        <f>SUM(X32:AI32)/12</f>
        <v>2</v>
      </c>
      <c r="AK32" s="89">
        <f>+AJ32</f>
        <v>2</v>
      </c>
      <c r="AL32" s="89">
        <f>SUM(X32:AI32)</f>
        <v>24</v>
      </c>
    </row>
    <row r="33" spans="1:38" s="4" customFormat="1" ht="12" customHeight="1">
      <c r="A33" s="4" t="str">
        <f t="shared" ref="A33:A61" si="25">"TEKOA"&amp;"COMMERCIAL"&amp;B33</f>
        <v>TEKOACOMMERCIALRL001.5Y1W001</v>
      </c>
      <c r="B33" s="5" t="s">
        <v>69</v>
      </c>
      <c r="C33" s="5" t="s">
        <v>70</v>
      </c>
      <c r="D33" s="20">
        <v>96.16</v>
      </c>
      <c r="E33" s="20"/>
      <c r="F33" s="21">
        <v>384.64</v>
      </c>
      <c r="G33" s="21">
        <v>384.64</v>
      </c>
      <c r="H33" s="21">
        <v>288.48</v>
      </c>
      <c r="I33" s="21">
        <v>288.48</v>
      </c>
      <c r="J33" s="21">
        <v>312.52</v>
      </c>
      <c r="K33" s="21">
        <v>288.48</v>
      </c>
      <c r="L33" s="23">
        <f t="shared" si="20"/>
        <v>1947.24</v>
      </c>
      <c r="M33" s="20"/>
      <c r="N33" s="21">
        <v>288.48</v>
      </c>
      <c r="O33" s="21">
        <v>288.48</v>
      </c>
      <c r="P33" s="21">
        <v>288.48</v>
      </c>
      <c r="Q33" s="21">
        <v>288.48</v>
      </c>
      <c r="R33" s="21">
        <v>288.48</v>
      </c>
      <c r="S33" s="21">
        <v>384.64</v>
      </c>
      <c r="T33" s="23">
        <f t="shared" si="21"/>
        <v>1827.04</v>
      </c>
      <c r="U33" s="23"/>
      <c r="V33" s="23">
        <f t="shared" si="22"/>
        <v>3774.2799999999997</v>
      </c>
      <c r="X33" s="22">
        <f t="shared" ref="X33:X49" si="26">IFERROR(F33/$D33,0)</f>
        <v>4</v>
      </c>
      <c r="Y33" s="22">
        <f t="shared" ref="Y33:Y49" si="27">IFERROR(G33/$D33,0)</f>
        <v>4</v>
      </c>
      <c r="Z33" s="22">
        <f t="shared" ref="Z33:Z49" si="28">IFERROR(H33/$D33,0)</f>
        <v>3.0000000000000004</v>
      </c>
      <c r="AA33" s="22">
        <f t="shared" ref="AA33:AA49" si="29">IFERROR(I33/$D33,0)</f>
        <v>3.0000000000000004</v>
      </c>
      <c r="AB33" s="22">
        <f t="shared" ref="AB33:AB49" si="30">IFERROR(J33/$D33,0)</f>
        <v>3.25</v>
      </c>
      <c r="AC33" s="22">
        <f t="shared" ref="AC33:AC49" si="31">IFERROR(K33/$D33,0)</f>
        <v>3.0000000000000004</v>
      </c>
      <c r="AD33" s="22">
        <f t="shared" ref="AD33:AD49" si="32">IFERROR(N33/$D33,0)</f>
        <v>3.0000000000000004</v>
      </c>
      <c r="AE33" s="22">
        <f t="shared" ref="AE33:AE49" si="33">IFERROR(O33/$D33,0)</f>
        <v>3.0000000000000004</v>
      </c>
      <c r="AF33" s="22">
        <f t="shared" ref="AF33:AF49" si="34">IFERROR(P33/$D33,0)</f>
        <v>3.0000000000000004</v>
      </c>
      <c r="AG33" s="22">
        <f t="shared" ref="AG33:AG49" si="35">IFERROR(Q33/$D33,0)</f>
        <v>3.0000000000000004</v>
      </c>
      <c r="AH33" s="22">
        <f t="shared" ref="AH33:AH49" si="36">IFERROR(R33/$D33,0)</f>
        <v>3.0000000000000004</v>
      </c>
      <c r="AI33" s="22">
        <f t="shared" ref="AI33:AI49" si="37">IFERROR(S33/$D33,0)</f>
        <v>4</v>
      </c>
      <c r="AJ33" s="82">
        <f t="shared" ref="AJ33:AJ49" si="38">SUM(X33:AI33)/12</f>
        <v>3.2708333333333335</v>
      </c>
      <c r="AK33" s="89">
        <f>+AJ33</f>
        <v>3.2708333333333335</v>
      </c>
      <c r="AL33" s="89">
        <f t="shared" ref="AL33:AL49" si="39">SUM(X33:AI33)</f>
        <v>39.25</v>
      </c>
    </row>
    <row r="34" spans="1:38" s="4" customFormat="1" ht="12" customHeight="1">
      <c r="A34" s="4" t="str">
        <f t="shared" si="25"/>
        <v>TEKOACOMMERCIALRL001.5Y1W002</v>
      </c>
      <c r="B34" s="5" t="s">
        <v>71</v>
      </c>
      <c r="C34" s="5" t="s">
        <v>72</v>
      </c>
      <c r="D34" s="20">
        <v>192.33</v>
      </c>
      <c r="E34" s="20"/>
      <c r="F34" s="21">
        <v>192.33</v>
      </c>
      <c r="G34" s="21">
        <v>192.33</v>
      </c>
      <c r="H34" s="21">
        <v>192.33</v>
      </c>
      <c r="I34" s="21">
        <v>192.33</v>
      </c>
      <c r="J34" s="21">
        <v>192.33</v>
      </c>
      <c r="K34" s="21">
        <v>192.33</v>
      </c>
      <c r="L34" s="23">
        <f t="shared" si="20"/>
        <v>1153.98</v>
      </c>
      <c r="M34" s="20"/>
      <c r="N34" s="21">
        <v>192.33</v>
      </c>
      <c r="O34" s="21">
        <v>192.33</v>
      </c>
      <c r="P34" s="21">
        <v>192.33</v>
      </c>
      <c r="Q34" s="21">
        <v>192.33</v>
      </c>
      <c r="R34" s="21">
        <v>192.33</v>
      </c>
      <c r="S34" s="21">
        <v>192.33</v>
      </c>
      <c r="T34" s="23">
        <f t="shared" si="21"/>
        <v>1153.98</v>
      </c>
      <c r="U34" s="23"/>
      <c r="V34" s="23">
        <f t="shared" si="22"/>
        <v>2307.96</v>
      </c>
      <c r="X34" s="22">
        <f t="shared" si="26"/>
        <v>1</v>
      </c>
      <c r="Y34" s="22">
        <f t="shared" si="27"/>
        <v>1</v>
      </c>
      <c r="Z34" s="22">
        <f t="shared" si="28"/>
        <v>1</v>
      </c>
      <c r="AA34" s="22">
        <f t="shared" si="29"/>
        <v>1</v>
      </c>
      <c r="AB34" s="22">
        <f t="shared" si="30"/>
        <v>1</v>
      </c>
      <c r="AC34" s="22">
        <f t="shared" si="31"/>
        <v>1</v>
      </c>
      <c r="AD34" s="22">
        <f t="shared" si="32"/>
        <v>1</v>
      </c>
      <c r="AE34" s="22">
        <f t="shared" si="33"/>
        <v>1</v>
      </c>
      <c r="AF34" s="22">
        <f t="shared" si="34"/>
        <v>1</v>
      </c>
      <c r="AG34" s="22">
        <f t="shared" si="35"/>
        <v>1</v>
      </c>
      <c r="AH34" s="22">
        <f t="shared" si="36"/>
        <v>1</v>
      </c>
      <c r="AI34" s="22">
        <f t="shared" si="37"/>
        <v>1</v>
      </c>
      <c r="AJ34" s="82">
        <f t="shared" si="38"/>
        <v>1</v>
      </c>
      <c r="AK34" s="89">
        <f>+AJ34*2</f>
        <v>2</v>
      </c>
      <c r="AL34" s="89">
        <f t="shared" si="39"/>
        <v>12</v>
      </c>
    </row>
    <row r="35" spans="1:38" s="4" customFormat="1" ht="12" customHeight="1">
      <c r="A35" s="4" t="str">
        <f t="shared" si="25"/>
        <v>TEKOACOMMERCIALRL002.0Y1W001</v>
      </c>
      <c r="B35" s="5" t="s">
        <v>73</v>
      </c>
      <c r="C35" s="5" t="s">
        <v>74</v>
      </c>
      <c r="D35" s="20">
        <v>128.25</v>
      </c>
      <c r="E35" s="20"/>
      <c r="F35" s="21">
        <v>641.25</v>
      </c>
      <c r="G35" s="21">
        <v>641.25</v>
      </c>
      <c r="H35" s="21">
        <v>641.25</v>
      </c>
      <c r="I35" s="21">
        <v>641.25</v>
      </c>
      <c r="J35" s="21">
        <v>641.25</v>
      </c>
      <c r="K35" s="21">
        <v>641.25</v>
      </c>
      <c r="L35" s="23">
        <f t="shared" si="20"/>
        <v>3847.5</v>
      </c>
      <c r="M35" s="20"/>
      <c r="N35" s="21">
        <v>641.25</v>
      </c>
      <c r="O35" s="21">
        <v>641.25</v>
      </c>
      <c r="P35" s="21">
        <v>641.25</v>
      </c>
      <c r="Q35" s="21">
        <v>641.25</v>
      </c>
      <c r="R35" s="21">
        <v>641.25</v>
      </c>
      <c r="S35" s="21">
        <v>641.25</v>
      </c>
      <c r="T35" s="23">
        <f t="shared" si="21"/>
        <v>3847.5</v>
      </c>
      <c r="U35" s="23"/>
      <c r="V35" s="23">
        <f t="shared" si="22"/>
        <v>7695</v>
      </c>
      <c r="X35" s="22">
        <f t="shared" si="26"/>
        <v>5</v>
      </c>
      <c r="Y35" s="22">
        <f t="shared" si="27"/>
        <v>5</v>
      </c>
      <c r="Z35" s="22">
        <f t="shared" si="28"/>
        <v>5</v>
      </c>
      <c r="AA35" s="22">
        <f t="shared" si="29"/>
        <v>5</v>
      </c>
      <c r="AB35" s="22">
        <f t="shared" si="30"/>
        <v>5</v>
      </c>
      <c r="AC35" s="22">
        <f t="shared" si="31"/>
        <v>5</v>
      </c>
      <c r="AD35" s="22">
        <f t="shared" si="32"/>
        <v>5</v>
      </c>
      <c r="AE35" s="22">
        <f t="shared" si="33"/>
        <v>5</v>
      </c>
      <c r="AF35" s="22">
        <f t="shared" si="34"/>
        <v>5</v>
      </c>
      <c r="AG35" s="22">
        <f t="shared" si="35"/>
        <v>5</v>
      </c>
      <c r="AH35" s="22">
        <f t="shared" si="36"/>
        <v>5</v>
      </c>
      <c r="AI35" s="22">
        <f t="shared" si="37"/>
        <v>5</v>
      </c>
      <c r="AJ35" s="82">
        <f t="shared" si="38"/>
        <v>5</v>
      </c>
      <c r="AK35" s="89">
        <f>+AJ35</f>
        <v>5</v>
      </c>
      <c r="AL35" s="89">
        <f t="shared" si="39"/>
        <v>60</v>
      </c>
    </row>
    <row r="36" spans="1:38" s="4" customFormat="1" ht="12" customHeight="1">
      <c r="A36" s="4" t="str">
        <f t="shared" si="25"/>
        <v>TEKOACOMMERCIALRL003.0Y1W001</v>
      </c>
      <c r="B36" s="5" t="s">
        <v>75</v>
      </c>
      <c r="C36" s="5" t="s">
        <v>76</v>
      </c>
      <c r="D36" s="20">
        <v>181.25</v>
      </c>
      <c r="E36" s="20"/>
      <c r="F36" s="21">
        <v>181.25</v>
      </c>
      <c r="G36" s="21">
        <v>181.25</v>
      </c>
      <c r="H36" s="21">
        <v>181.25</v>
      </c>
      <c r="I36" s="21">
        <v>181.25</v>
      </c>
      <c r="J36" s="21">
        <v>181.25</v>
      </c>
      <c r="K36" s="21">
        <v>181.25</v>
      </c>
      <c r="L36" s="23">
        <f t="shared" si="20"/>
        <v>1087.5</v>
      </c>
      <c r="M36" s="20"/>
      <c r="N36" s="21">
        <v>181.25</v>
      </c>
      <c r="O36" s="21">
        <v>181.25</v>
      </c>
      <c r="P36" s="21">
        <v>181.25</v>
      </c>
      <c r="Q36" s="21">
        <v>181.25</v>
      </c>
      <c r="R36" s="21">
        <v>181.25</v>
      </c>
      <c r="S36" s="21">
        <v>181.25</v>
      </c>
      <c r="T36" s="23">
        <f t="shared" si="21"/>
        <v>1087.5</v>
      </c>
      <c r="U36" s="23"/>
      <c r="V36" s="23">
        <f t="shared" si="22"/>
        <v>2175</v>
      </c>
      <c r="X36" s="22">
        <f t="shared" si="26"/>
        <v>1</v>
      </c>
      <c r="Y36" s="22">
        <f t="shared" si="27"/>
        <v>1</v>
      </c>
      <c r="Z36" s="22">
        <f t="shared" si="28"/>
        <v>1</v>
      </c>
      <c r="AA36" s="22">
        <f t="shared" si="29"/>
        <v>1</v>
      </c>
      <c r="AB36" s="22">
        <f t="shared" si="30"/>
        <v>1</v>
      </c>
      <c r="AC36" s="22">
        <f t="shared" si="31"/>
        <v>1</v>
      </c>
      <c r="AD36" s="22">
        <f t="shared" si="32"/>
        <v>1</v>
      </c>
      <c r="AE36" s="22">
        <f t="shared" si="33"/>
        <v>1</v>
      </c>
      <c r="AF36" s="22">
        <f t="shared" si="34"/>
        <v>1</v>
      </c>
      <c r="AG36" s="22">
        <f t="shared" si="35"/>
        <v>1</v>
      </c>
      <c r="AH36" s="22">
        <f t="shared" si="36"/>
        <v>1</v>
      </c>
      <c r="AI36" s="22">
        <f t="shared" si="37"/>
        <v>1</v>
      </c>
      <c r="AJ36" s="82">
        <f t="shared" si="38"/>
        <v>1</v>
      </c>
      <c r="AK36" s="89">
        <f>+AJ36</f>
        <v>1</v>
      </c>
      <c r="AL36" s="89">
        <f t="shared" si="39"/>
        <v>12</v>
      </c>
    </row>
    <row r="37" spans="1:38" s="4" customFormat="1" ht="12" customHeight="1">
      <c r="A37" s="4" t="str">
        <f t="shared" si="25"/>
        <v>TEKOACOMMERCIALRL004.0Y1W001</v>
      </c>
      <c r="B37" s="5" t="s">
        <v>79</v>
      </c>
      <c r="C37" s="5" t="s">
        <v>80</v>
      </c>
      <c r="D37" s="20">
        <v>240.83</v>
      </c>
      <c r="E37" s="20"/>
      <c r="F37" s="21">
        <v>481.66</v>
      </c>
      <c r="G37" s="21">
        <v>481.66</v>
      </c>
      <c r="H37" s="21">
        <v>481.66</v>
      </c>
      <c r="I37" s="21">
        <v>481.66</v>
      </c>
      <c r="J37" s="21">
        <v>481.66</v>
      </c>
      <c r="K37" s="21">
        <v>481.66</v>
      </c>
      <c r="L37" s="23">
        <f t="shared" si="20"/>
        <v>2889.96</v>
      </c>
      <c r="M37" s="20"/>
      <c r="N37" s="21">
        <v>481.66</v>
      </c>
      <c r="O37" s="21">
        <v>481.66</v>
      </c>
      <c r="P37" s="21">
        <v>481.66</v>
      </c>
      <c r="Q37" s="21">
        <v>481.66</v>
      </c>
      <c r="R37" s="21">
        <v>481.66</v>
      </c>
      <c r="S37" s="21">
        <v>481.66</v>
      </c>
      <c r="T37" s="23">
        <f t="shared" si="21"/>
        <v>2889.96</v>
      </c>
      <c r="U37" s="23"/>
      <c r="V37" s="23">
        <f t="shared" si="22"/>
        <v>5779.92</v>
      </c>
      <c r="X37" s="22">
        <f t="shared" si="26"/>
        <v>2</v>
      </c>
      <c r="Y37" s="22">
        <f t="shared" si="27"/>
        <v>2</v>
      </c>
      <c r="Z37" s="22">
        <f t="shared" si="28"/>
        <v>2</v>
      </c>
      <c r="AA37" s="22">
        <f t="shared" si="29"/>
        <v>2</v>
      </c>
      <c r="AB37" s="22">
        <f t="shared" si="30"/>
        <v>2</v>
      </c>
      <c r="AC37" s="22">
        <f t="shared" si="31"/>
        <v>2</v>
      </c>
      <c r="AD37" s="22">
        <f t="shared" si="32"/>
        <v>2</v>
      </c>
      <c r="AE37" s="22">
        <f t="shared" si="33"/>
        <v>2</v>
      </c>
      <c r="AF37" s="22">
        <f t="shared" si="34"/>
        <v>2</v>
      </c>
      <c r="AG37" s="22">
        <f t="shared" si="35"/>
        <v>2</v>
      </c>
      <c r="AH37" s="22">
        <f t="shared" si="36"/>
        <v>2</v>
      </c>
      <c r="AI37" s="22">
        <f t="shared" si="37"/>
        <v>2</v>
      </c>
      <c r="AJ37" s="82">
        <f t="shared" si="38"/>
        <v>2</v>
      </c>
      <c r="AK37" s="89">
        <f>+AJ37</f>
        <v>2</v>
      </c>
      <c r="AL37" s="89">
        <f t="shared" si="39"/>
        <v>24</v>
      </c>
    </row>
    <row r="38" spans="1:38" s="4" customFormat="1" ht="12" customHeight="1">
      <c r="A38" s="4" t="str">
        <f t="shared" si="25"/>
        <v>TEKOACOMMERCIALRL006.0Y1W001</v>
      </c>
      <c r="B38" s="5" t="s">
        <v>83</v>
      </c>
      <c r="C38" s="5" t="s">
        <v>84</v>
      </c>
      <c r="D38" s="20">
        <v>350.98</v>
      </c>
      <c r="E38" s="20"/>
      <c r="F38" s="21">
        <v>701.96</v>
      </c>
      <c r="G38" s="21">
        <v>701.96</v>
      </c>
      <c r="H38" s="21">
        <v>701.96</v>
      </c>
      <c r="I38" s="21">
        <v>701.96</v>
      </c>
      <c r="J38" s="21">
        <v>701.96</v>
      </c>
      <c r="K38" s="21">
        <v>701.96</v>
      </c>
      <c r="L38" s="23">
        <f t="shared" si="20"/>
        <v>4211.76</v>
      </c>
      <c r="M38" s="20"/>
      <c r="N38" s="21">
        <v>701.96</v>
      </c>
      <c r="O38" s="21">
        <v>701.96</v>
      </c>
      <c r="P38" s="21">
        <v>701.96</v>
      </c>
      <c r="Q38" s="21">
        <v>701.96</v>
      </c>
      <c r="R38" s="21">
        <v>701.96</v>
      </c>
      <c r="S38" s="21">
        <v>701.96</v>
      </c>
      <c r="T38" s="23">
        <f t="shared" si="21"/>
        <v>4211.76</v>
      </c>
      <c r="U38" s="23"/>
      <c r="V38" s="23">
        <f t="shared" si="22"/>
        <v>8423.52</v>
      </c>
      <c r="X38" s="22">
        <f t="shared" si="26"/>
        <v>2</v>
      </c>
      <c r="Y38" s="22">
        <f t="shared" si="27"/>
        <v>2</v>
      </c>
      <c r="Z38" s="22">
        <f t="shared" si="28"/>
        <v>2</v>
      </c>
      <c r="AA38" s="22">
        <f t="shared" si="29"/>
        <v>2</v>
      </c>
      <c r="AB38" s="22">
        <f t="shared" si="30"/>
        <v>2</v>
      </c>
      <c r="AC38" s="22">
        <f t="shared" si="31"/>
        <v>2</v>
      </c>
      <c r="AD38" s="22">
        <f t="shared" si="32"/>
        <v>2</v>
      </c>
      <c r="AE38" s="22">
        <f t="shared" si="33"/>
        <v>2</v>
      </c>
      <c r="AF38" s="22">
        <f t="shared" si="34"/>
        <v>2</v>
      </c>
      <c r="AG38" s="22">
        <f t="shared" si="35"/>
        <v>2</v>
      </c>
      <c r="AH38" s="22">
        <f t="shared" si="36"/>
        <v>2</v>
      </c>
      <c r="AI38" s="22">
        <f t="shared" si="37"/>
        <v>2</v>
      </c>
      <c r="AJ38" s="82">
        <f t="shared" si="38"/>
        <v>2</v>
      </c>
      <c r="AK38" s="89">
        <f>+AJ38</f>
        <v>2</v>
      </c>
      <c r="AL38" s="89">
        <f t="shared" si="39"/>
        <v>24</v>
      </c>
    </row>
    <row r="39" spans="1:38" s="4" customFormat="1" ht="12" customHeight="1">
      <c r="A39" s="4" t="str">
        <f t="shared" si="25"/>
        <v>TEKOACOMMERCIALRL008.0Y2W001</v>
      </c>
      <c r="B39" s="5" t="s">
        <v>199</v>
      </c>
      <c r="C39" s="5" t="s">
        <v>200</v>
      </c>
      <c r="D39" s="20">
        <v>914.92</v>
      </c>
      <c r="E39" s="20"/>
      <c r="F39" s="21">
        <v>914.92</v>
      </c>
      <c r="G39" s="21">
        <v>914.92</v>
      </c>
      <c r="H39" s="21">
        <v>914.92</v>
      </c>
      <c r="I39" s="21">
        <v>914.92</v>
      </c>
      <c r="J39" s="21">
        <v>914.92</v>
      </c>
      <c r="K39" s="21">
        <v>914.92</v>
      </c>
      <c r="L39" s="23">
        <f t="shared" si="20"/>
        <v>5489.5199999999995</v>
      </c>
      <c r="M39" s="20"/>
      <c r="N39" s="21">
        <v>914.92</v>
      </c>
      <c r="O39" s="21">
        <v>914.92</v>
      </c>
      <c r="P39" s="21">
        <v>914.92</v>
      </c>
      <c r="Q39" s="21">
        <v>914.92</v>
      </c>
      <c r="R39" s="21">
        <v>914.92</v>
      </c>
      <c r="S39" s="21">
        <v>914.92</v>
      </c>
      <c r="T39" s="23">
        <f t="shared" si="21"/>
        <v>5489.5199999999995</v>
      </c>
      <c r="U39" s="23"/>
      <c r="V39" s="23">
        <f t="shared" si="22"/>
        <v>10979.039999999999</v>
      </c>
      <c r="X39" s="22">
        <f t="shared" si="26"/>
        <v>1</v>
      </c>
      <c r="Y39" s="22">
        <f t="shared" si="27"/>
        <v>1</v>
      </c>
      <c r="Z39" s="22">
        <f t="shared" si="28"/>
        <v>1</v>
      </c>
      <c r="AA39" s="22">
        <f t="shared" si="29"/>
        <v>1</v>
      </c>
      <c r="AB39" s="22">
        <f t="shared" si="30"/>
        <v>1</v>
      </c>
      <c r="AC39" s="22">
        <f t="shared" si="31"/>
        <v>1</v>
      </c>
      <c r="AD39" s="22">
        <f t="shared" si="32"/>
        <v>1</v>
      </c>
      <c r="AE39" s="22">
        <f t="shared" si="33"/>
        <v>1</v>
      </c>
      <c r="AF39" s="22">
        <f t="shared" si="34"/>
        <v>1</v>
      </c>
      <c r="AG39" s="22">
        <f t="shared" si="35"/>
        <v>1</v>
      </c>
      <c r="AH39" s="22">
        <f t="shared" si="36"/>
        <v>1</v>
      </c>
      <c r="AI39" s="22">
        <f t="shared" si="37"/>
        <v>1</v>
      </c>
      <c r="AJ39" s="82">
        <f t="shared" si="38"/>
        <v>1</v>
      </c>
      <c r="AK39" s="89">
        <f>+AJ39</f>
        <v>1</v>
      </c>
      <c r="AL39" s="89">
        <f t="shared" si="39"/>
        <v>12</v>
      </c>
    </row>
    <row r="40" spans="1:38" s="4" customFormat="1" ht="12" customHeight="1">
      <c r="A40" s="4" t="str">
        <f t="shared" si="25"/>
        <v>TEKOACOMMERCIALRL032.0G1W001COMM</v>
      </c>
      <c r="B40" s="5" t="s">
        <v>87</v>
      </c>
      <c r="C40" s="5" t="s">
        <v>88</v>
      </c>
      <c r="D40" s="20">
        <v>17.399999999999999</v>
      </c>
      <c r="E40" s="20"/>
      <c r="F40" s="21">
        <v>17.399999999999999</v>
      </c>
      <c r="G40" s="21">
        <v>17.399999999999999</v>
      </c>
      <c r="H40" s="21">
        <v>17.399999999999999</v>
      </c>
      <c r="I40" s="21">
        <v>17.399999999999999</v>
      </c>
      <c r="J40" s="21">
        <v>17.399999999999999</v>
      </c>
      <c r="K40" s="21">
        <v>17.399999999999999</v>
      </c>
      <c r="L40" s="23">
        <f t="shared" si="20"/>
        <v>104.4</v>
      </c>
      <c r="M40" s="20"/>
      <c r="N40" s="21">
        <v>17.399999999999999</v>
      </c>
      <c r="O40" s="21">
        <v>17.399999999999999</v>
      </c>
      <c r="P40" s="21">
        <v>17.399999999999999</v>
      </c>
      <c r="Q40" s="21">
        <v>17.399999999999999</v>
      </c>
      <c r="R40" s="21">
        <v>17.399999999999999</v>
      </c>
      <c r="S40" s="21">
        <v>17.399999999999999</v>
      </c>
      <c r="T40" s="23">
        <f t="shared" si="21"/>
        <v>104.4</v>
      </c>
      <c r="U40" s="23"/>
      <c r="V40" s="23">
        <f t="shared" si="22"/>
        <v>208.8</v>
      </c>
      <c r="X40" s="22">
        <f t="shared" si="26"/>
        <v>1</v>
      </c>
      <c r="Y40" s="22">
        <f t="shared" si="27"/>
        <v>1</v>
      </c>
      <c r="Z40" s="22">
        <f t="shared" si="28"/>
        <v>1</v>
      </c>
      <c r="AA40" s="22">
        <f t="shared" si="29"/>
        <v>1</v>
      </c>
      <c r="AB40" s="22">
        <f t="shared" si="30"/>
        <v>1</v>
      </c>
      <c r="AC40" s="22">
        <f t="shared" si="31"/>
        <v>1</v>
      </c>
      <c r="AD40" s="22">
        <f t="shared" si="32"/>
        <v>1</v>
      </c>
      <c r="AE40" s="22">
        <f t="shared" si="33"/>
        <v>1</v>
      </c>
      <c r="AF40" s="22">
        <f t="shared" si="34"/>
        <v>1</v>
      </c>
      <c r="AG40" s="22">
        <f t="shared" si="35"/>
        <v>1</v>
      </c>
      <c r="AH40" s="22">
        <f t="shared" si="36"/>
        <v>1</v>
      </c>
      <c r="AI40" s="22">
        <f t="shared" si="37"/>
        <v>1</v>
      </c>
      <c r="AJ40" s="82">
        <f t="shared" si="38"/>
        <v>1</v>
      </c>
      <c r="AK40" s="89">
        <v>0</v>
      </c>
      <c r="AL40" s="89">
        <f t="shared" si="39"/>
        <v>12</v>
      </c>
    </row>
    <row r="41" spans="1:38" s="4" customFormat="1" ht="12" customHeight="1">
      <c r="A41" s="4" t="str">
        <f t="shared" si="25"/>
        <v>TEKOACOMMERCIALRL032.0G1W002COMM</v>
      </c>
      <c r="B41" s="5" t="s">
        <v>89</v>
      </c>
      <c r="C41" s="5" t="s">
        <v>90</v>
      </c>
      <c r="D41" s="20">
        <v>34.64</v>
      </c>
      <c r="E41" s="20"/>
      <c r="F41" s="21">
        <v>34.64</v>
      </c>
      <c r="G41" s="21">
        <v>34.64</v>
      </c>
      <c r="H41" s="21">
        <v>34.64</v>
      </c>
      <c r="I41" s="21">
        <v>34.64</v>
      </c>
      <c r="J41" s="21">
        <v>34.64</v>
      </c>
      <c r="K41" s="21">
        <v>34.64</v>
      </c>
      <c r="L41" s="23">
        <f t="shared" si="20"/>
        <v>207.83999999999997</v>
      </c>
      <c r="M41" s="20"/>
      <c r="N41" s="21">
        <v>34.64</v>
      </c>
      <c r="O41" s="21">
        <v>34.64</v>
      </c>
      <c r="P41" s="21">
        <v>34.64</v>
      </c>
      <c r="Q41" s="21">
        <v>34.64</v>
      </c>
      <c r="R41" s="21">
        <v>34.64</v>
      </c>
      <c r="S41" s="21">
        <v>34.64</v>
      </c>
      <c r="T41" s="23">
        <f t="shared" si="21"/>
        <v>207.83999999999997</v>
      </c>
      <c r="U41" s="23"/>
      <c r="V41" s="23">
        <f t="shared" si="22"/>
        <v>415.67999999999995</v>
      </c>
      <c r="X41" s="22">
        <f t="shared" si="26"/>
        <v>1</v>
      </c>
      <c r="Y41" s="22">
        <f t="shared" si="27"/>
        <v>1</v>
      </c>
      <c r="Z41" s="22">
        <f t="shared" si="28"/>
        <v>1</v>
      </c>
      <c r="AA41" s="22">
        <f t="shared" si="29"/>
        <v>1</v>
      </c>
      <c r="AB41" s="22">
        <f t="shared" si="30"/>
        <v>1</v>
      </c>
      <c r="AC41" s="22">
        <f t="shared" si="31"/>
        <v>1</v>
      </c>
      <c r="AD41" s="22">
        <f t="shared" si="32"/>
        <v>1</v>
      </c>
      <c r="AE41" s="22">
        <f t="shared" si="33"/>
        <v>1</v>
      </c>
      <c r="AF41" s="22">
        <f t="shared" si="34"/>
        <v>1</v>
      </c>
      <c r="AG41" s="22">
        <f t="shared" si="35"/>
        <v>1</v>
      </c>
      <c r="AH41" s="22">
        <f t="shared" si="36"/>
        <v>1</v>
      </c>
      <c r="AI41" s="22">
        <f t="shared" si="37"/>
        <v>1</v>
      </c>
      <c r="AJ41" s="82">
        <f t="shared" si="38"/>
        <v>1</v>
      </c>
      <c r="AK41" s="89">
        <v>0</v>
      </c>
      <c r="AL41" s="89">
        <f t="shared" si="39"/>
        <v>12</v>
      </c>
    </row>
    <row r="42" spans="1:38" s="4" customFormat="1" ht="12" customHeight="1">
      <c r="A42" s="4" t="str">
        <f t="shared" si="25"/>
        <v>TEKOACOMMERCIALRL32C-OC</v>
      </c>
      <c r="B42" s="5" t="s">
        <v>103</v>
      </c>
      <c r="C42" s="5" t="s">
        <v>104</v>
      </c>
      <c r="D42" s="20">
        <v>11</v>
      </c>
      <c r="E42" s="20"/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3">
        <f t="shared" si="20"/>
        <v>0</v>
      </c>
      <c r="M42" s="20"/>
      <c r="N42" s="21">
        <v>0</v>
      </c>
      <c r="O42" s="21">
        <v>0</v>
      </c>
      <c r="P42" s="21">
        <v>22</v>
      </c>
      <c r="Q42" s="21">
        <v>0</v>
      </c>
      <c r="R42" s="21">
        <v>0</v>
      </c>
      <c r="S42" s="21">
        <v>0</v>
      </c>
      <c r="T42" s="23">
        <f t="shared" si="21"/>
        <v>22</v>
      </c>
      <c r="U42" s="23"/>
      <c r="V42" s="23">
        <f t="shared" si="22"/>
        <v>22</v>
      </c>
      <c r="X42" s="22">
        <f t="shared" si="26"/>
        <v>0</v>
      </c>
      <c r="Y42" s="22">
        <f t="shared" si="27"/>
        <v>0</v>
      </c>
      <c r="Z42" s="22">
        <f t="shared" si="28"/>
        <v>0</v>
      </c>
      <c r="AA42" s="22">
        <f t="shared" si="29"/>
        <v>0</v>
      </c>
      <c r="AB42" s="22">
        <f t="shared" si="30"/>
        <v>0</v>
      </c>
      <c r="AC42" s="22">
        <f t="shared" si="31"/>
        <v>0</v>
      </c>
      <c r="AD42" s="22">
        <f t="shared" si="32"/>
        <v>0</v>
      </c>
      <c r="AE42" s="22">
        <f t="shared" si="33"/>
        <v>0</v>
      </c>
      <c r="AF42" s="22">
        <f t="shared" si="34"/>
        <v>2</v>
      </c>
      <c r="AG42" s="22">
        <f t="shared" si="35"/>
        <v>0</v>
      </c>
      <c r="AH42" s="22">
        <f t="shared" si="36"/>
        <v>0</v>
      </c>
      <c r="AI42" s="22">
        <f t="shared" si="37"/>
        <v>0</v>
      </c>
      <c r="AJ42" s="82">
        <f t="shared" si="38"/>
        <v>0.16666666666666666</v>
      </c>
      <c r="AK42" s="89"/>
      <c r="AL42" s="89">
        <f t="shared" si="39"/>
        <v>2</v>
      </c>
    </row>
    <row r="43" spans="1:38" s="4" customFormat="1" ht="12" customHeight="1">
      <c r="A43" s="4" t="str">
        <f t="shared" si="25"/>
        <v>TEKOACOMMERCIALRL090.0G1W001COMM</v>
      </c>
      <c r="B43" s="5" t="s">
        <v>93</v>
      </c>
      <c r="C43" s="5" t="s">
        <v>94</v>
      </c>
      <c r="D43" s="20">
        <v>38.68</v>
      </c>
      <c r="E43" s="20"/>
      <c r="F43" s="21">
        <v>270.76</v>
      </c>
      <c r="G43" s="21">
        <v>270.76</v>
      </c>
      <c r="H43" s="21">
        <v>270.76</v>
      </c>
      <c r="I43" s="21">
        <v>270.76</v>
      </c>
      <c r="J43" s="21">
        <v>270.76</v>
      </c>
      <c r="K43" s="21">
        <v>270.76</v>
      </c>
      <c r="L43" s="23">
        <f t="shared" si="20"/>
        <v>1624.56</v>
      </c>
      <c r="M43" s="20"/>
      <c r="N43" s="21">
        <v>270.76</v>
      </c>
      <c r="O43" s="21">
        <v>270.76</v>
      </c>
      <c r="P43" s="21">
        <v>270.76</v>
      </c>
      <c r="Q43" s="21">
        <v>270.76</v>
      </c>
      <c r="R43" s="21">
        <v>270.76</v>
      </c>
      <c r="S43" s="21">
        <v>270.76</v>
      </c>
      <c r="T43" s="23">
        <f t="shared" si="21"/>
        <v>1624.56</v>
      </c>
      <c r="U43" s="23"/>
      <c r="V43" s="23">
        <f t="shared" si="22"/>
        <v>3249.12</v>
      </c>
      <c r="X43" s="22">
        <f t="shared" si="26"/>
        <v>7</v>
      </c>
      <c r="Y43" s="22">
        <f t="shared" si="27"/>
        <v>7</v>
      </c>
      <c r="Z43" s="22">
        <f t="shared" si="28"/>
        <v>7</v>
      </c>
      <c r="AA43" s="22">
        <f t="shared" si="29"/>
        <v>7</v>
      </c>
      <c r="AB43" s="22">
        <f t="shared" si="30"/>
        <v>7</v>
      </c>
      <c r="AC43" s="22">
        <f t="shared" si="31"/>
        <v>7</v>
      </c>
      <c r="AD43" s="22">
        <f t="shared" si="32"/>
        <v>7</v>
      </c>
      <c r="AE43" s="22">
        <f t="shared" si="33"/>
        <v>7</v>
      </c>
      <c r="AF43" s="22">
        <f t="shared" si="34"/>
        <v>7</v>
      </c>
      <c r="AG43" s="22">
        <f t="shared" si="35"/>
        <v>7</v>
      </c>
      <c r="AH43" s="22">
        <f t="shared" si="36"/>
        <v>7</v>
      </c>
      <c r="AI43" s="22">
        <f t="shared" si="37"/>
        <v>7</v>
      </c>
      <c r="AJ43" s="82">
        <f t="shared" si="38"/>
        <v>7</v>
      </c>
      <c r="AK43" s="89">
        <f>+AJ43</f>
        <v>7</v>
      </c>
      <c r="AL43" s="89">
        <f t="shared" si="39"/>
        <v>84</v>
      </c>
    </row>
    <row r="44" spans="1:38" s="4" customFormat="1" ht="12" customHeight="1">
      <c r="A44" s="4" t="str">
        <f t="shared" si="25"/>
        <v>TEKOACOMMERCIALRL090.0G1W002COMM</v>
      </c>
      <c r="B44" s="5" t="s">
        <v>95</v>
      </c>
      <c r="C44" s="5" t="s">
        <v>96</v>
      </c>
      <c r="D44" s="20">
        <v>77.33</v>
      </c>
      <c r="E44" s="20"/>
      <c r="F44" s="21">
        <v>77.33</v>
      </c>
      <c r="G44" s="21">
        <v>77.33</v>
      </c>
      <c r="H44" s="21">
        <v>77.33</v>
      </c>
      <c r="I44" s="21">
        <v>77.33</v>
      </c>
      <c r="J44" s="21">
        <v>0</v>
      </c>
      <c r="K44" s="21">
        <v>0</v>
      </c>
      <c r="L44" s="23">
        <f t="shared" si="20"/>
        <v>309.32</v>
      </c>
      <c r="M44" s="20"/>
      <c r="N44" s="21">
        <v>0</v>
      </c>
      <c r="O44" s="21">
        <v>0</v>
      </c>
      <c r="P44" s="21">
        <v>0</v>
      </c>
      <c r="Q44" s="21">
        <v>0</v>
      </c>
      <c r="R44" s="21">
        <v>77.33</v>
      </c>
      <c r="S44" s="21">
        <v>77.33</v>
      </c>
      <c r="T44" s="23">
        <f t="shared" si="21"/>
        <v>154.66</v>
      </c>
      <c r="U44" s="23"/>
      <c r="V44" s="23">
        <f t="shared" si="22"/>
        <v>463.98</v>
      </c>
      <c r="X44" s="22">
        <f t="shared" si="26"/>
        <v>1</v>
      </c>
      <c r="Y44" s="22">
        <f t="shared" si="27"/>
        <v>1</v>
      </c>
      <c r="Z44" s="22">
        <f t="shared" si="28"/>
        <v>1</v>
      </c>
      <c r="AA44" s="22">
        <f t="shared" si="29"/>
        <v>1</v>
      </c>
      <c r="AB44" s="22">
        <f t="shared" si="30"/>
        <v>0</v>
      </c>
      <c r="AC44" s="22">
        <f t="shared" si="31"/>
        <v>0</v>
      </c>
      <c r="AD44" s="22">
        <f t="shared" si="32"/>
        <v>0</v>
      </c>
      <c r="AE44" s="22">
        <f t="shared" si="33"/>
        <v>0</v>
      </c>
      <c r="AF44" s="22">
        <f t="shared" si="34"/>
        <v>0</v>
      </c>
      <c r="AG44" s="22">
        <f t="shared" si="35"/>
        <v>0</v>
      </c>
      <c r="AH44" s="22">
        <f t="shared" si="36"/>
        <v>1</v>
      </c>
      <c r="AI44" s="22">
        <f t="shared" si="37"/>
        <v>1</v>
      </c>
      <c r="AJ44" s="82">
        <f t="shared" si="38"/>
        <v>0.5</v>
      </c>
      <c r="AK44" s="89">
        <f>+AJ44*2</f>
        <v>1</v>
      </c>
      <c r="AL44" s="89">
        <f t="shared" si="39"/>
        <v>6</v>
      </c>
    </row>
    <row r="45" spans="1:38" s="4" customFormat="1" ht="12" customHeight="1">
      <c r="A45" s="4" t="str">
        <f t="shared" si="25"/>
        <v>TEKOACOMMERCIALEXTRA-COMM</v>
      </c>
      <c r="B45" s="5" t="s">
        <v>111</v>
      </c>
      <c r="C45" s="5" t="s">
        <v>112</v>
      </c>
      <c r="D45" s="20">
        <v>4</v>
      </c>
      <c r="E45" s="20"/>
      <c r="F45" s="21">
        <v>23.91</v>
      </c>
      <c r="G45" s="21">
        <v>40</v>
      </c>
      <c r="H45" s="21">
        <v>24</v>
      </c>
      <c r="I45" s="21">
        <v>16</v>
      </c>
      <c r="J45" s="21">
        <v>52</v>
      </c>
      <c r="K45" s="21">
        <v>56</v>
      </c>
      <c r="L45" s="23">
        <f t="shared" si="20"/>
        <v>211.91</v>
      </c>
      <c r="M45" s="20"/>
      <c r="N45" s="21">
        <v>40</v>
      </c>
      <c r="O45" s="21">
        <v>48</v>
      </c>
      <c r="P45" s="21">
        <v>40</v>
      </c>
      <c r="Q45" s="21">
        <v>36</v>
      </c>
      <c r="R45" s="21">
        <v>60</v>
      </c>
      <c r="S45" s="21">
        <v>72</v>
      </c>
      <c r="T45" s="23">
        <f t="shared" si="21"/>
        <v>296</v>
      </c>
      <c r="U45" s="23"/>
      <c r="V45" s="23">
        <f t="shared" si="22"/>
        <v>507.90999999999997</v>
      </c>
      <c r="X45" s="22">
        <f t="shared" si="26"/>
        <v>5.9775</v>
      </c>
      <c r="Y45" s="22">
        <f t="shared" si="27"/>
        <v>10</v>
      </c>
      <c r="Z45" s="22">
        <f t="shared" si="28"/>
        <v>6</v>
      </c>
      <c r="AA45" s="22">
        <f t="shared" si="29"/>
        <v>4</v>
      </c>
      <c r="AB45" s="22">
        <f t="shared" si="30"/>
        <v>13</v>
      </c>
      <c r="AC45" s="22">
        <f t="shared" si="31"/>
        <v>14</v>
      </c>
      <c r="AD45" s="22">
        <f t="shared" si="32"/>
        <v>10</v>
      </c>
      <c r="AE45" s="22">
        <f t="shared" si="33"/>
        <v>12</v>
      </c>
      <c r="AF45" s="22">
        <f t="shared" si="34"/>
        <v>10</v>
      </c>
      <c r="AG45" s="22">
        <f t="shared" si="35"/>
        <v>9</v>
      </c>
      <c r="AH45" s="22">
        <f t="shared" si="36"/>
        <v>15</v>
      </c>
      <c r="AI45" s="22">
        <f t="shared" si="37"/>
        <v>18</v>
      </c>
      <c r="AJ45" s="82">
        <f t="shared" si="38"/>
        <v>10.581458333333332</v>
      </c>
      <c r="AK45" s="89"/>
      <c r="AL45" s="89">
        <f t="shared" si="39"/>
        <v>126.97749999999999</v>
      </c>
    </row>
    <row r="46" spans="1:38" s="4" customFormat="1" ht="12" customHeight="1">
      <c r="A46" s="4" t="str">
        <f t="shared" si="25"/>
        <v>TEKOACOMMERCIALRL2C-OC</v>
      </c>
      <c r="B46" s="5" t="s">
        <v>211</v>
      </c>
      <c r="C46" s="5" t="s">
        <v>212</v>
      </c>
      <c r="D46" s="20">
        <v>60.91</v>
      </c>
      <c r="E46" s="20"/>
      <c r="F46" s="21">
        <v>0</v>
      </c>
      <c r="G46" s="21">
        <v>0</v>
      </c>
      <c r="H46" s="21">
        <v>0</v>
      </c>
      <c r="I46" s="21">
        <v>0</v>
      </c>
      <c r="J46" s="21">
        <v>60.91</v>
      </c>
      <c r="K46" s="21">
        <v>0</v>
      </c>
      <c r="L46" s="23">
        <f t="shared" si="20"/>
        <v>60.91</v>
      </c>
      <c r="M46" s="20"/>
      <c r="N46" s="21"/>
      <c r="O46" s="21"/>
      <c r="P46" s="21"/>
      <c r="Q46" s="21"/>
      <c r="R46" s="21"/>
      <c r="S46" s="21"/>
      <c r="T46" s="23"/>
      <c r="U46" s="23"/>
      <c r="V46" s="23">
        <f t="shared" si="22"/>
        <v>60.91</v>
      </c>
      <c r="X46" s="22">
        <f t="shared" si="26"/>
        <v>0</v>
      </c>
      <c r="Y46" s="22">
        <f t="shared" si="27"/>
        <v>0</v>
      </c>
      <c r="Z46" s="22">
        <f t="shared" si="28"/>
        <v>0</v>
      </c>
      <c r="AA46" s="22">
        <f t="shared" si="29"/>
        <v>0</v>
      </c>
      <c r="AB46" s="22">
        <f t="shared" si="30"/>
        <v>1</v>
      </c>
      <c r="AC46" s="22">
        <f t="shared" si="31"/>
        <v>0</v>
      </c>
      <c r="AD46" s="22">
        <f t="shared" si="32"/>
        <v>0</v>
      </c>
      <c r="AE46" s="22">
        <f t="shared" si="33"/>
        <v>0</v>
      </c>
      <c r="AF46" s="22">
        <f t="shared" si="34"/>
        <v>0</v>
      </c>
      <c r="AG46" s="22">
        <f t="shared" si="35"/>
        <v>0</v>
      </c>
      <c r="AH46" s="22">
        <f t="shared" si="36"/>
        <v>0</v>
      </c>
      <c r="AI46" s="22">
        <f t="shared" si="37"/>
        <v>0</v>
      </c>
      <c r="AJ46" s="82">
        <f t="shared" si="38"/>
        <v>8.3333333333333329E-2</v>
      </c>
      <c r="AK46" s="89"/>
      <c r="AL46" s="89">
        <f t="shared" si="39"/>
        <v>1</v>
      </c>
    </row>
    <row r="47" spans="1:38" s="4" customFormat="1" ht="12" customHeight="1">
      <c r="A47" s="4" t="str">
        <f t="shared" si="25"/>
        <v>TEKOACOMMERCIALRL2TC-COMM</v>
      </c>
      <c r="B47" s="5" t="s">
        <v>101</v>
      </c>
      <c r="C47" s="5" t="s">
        <v>102</v>
      </c>
      <c r="D47" s="20">
        <v>35.82</v>
      </c>
      <c r="E47" s="20"/>
      <c r="F47" s="21">
        <v>35.82</v>
      </c>
      <c r="G47" s="21">
        <v>0</v>
      </c>
      <c r="H47" s="21">
        <v>35.82</v>
      </c>
      <c r="I47" s="21">
        <v>0</v>
      </c>
      <c r="J47" s="21">
        <v>0</v>
      </c>
      <c r="K47" s="21">
        <v>0</v>
      </c>
      <c r="L47" s="23">
        <f t="shared" si="20"/>
        <v>71.64</v>
      </c>
      <c r="M47" s="20"/>
      <c r="N47" s="21"/>
      <c r="O47" s="21"/>
      <c r="P47" s="21"/>
      <c r="Q47" s="21"/>
      <c r="R47" s="21"/>
      <c r="S47" s="21"/>
      <c r="T47" s="23"/>
      <c r="U47" s="23"/>
      <c r="V47" s="23">
        <f t="shared" si="22"/>
        <v>71.64</v>
      </c>
      <c r="X47" s="22">
        <f t="shared" si="26"/>
        <v>1</v>
      </c>
      <c r="Y47" s="22">
        <f t="shared" si="27"/>
        <v>0</v>
      </c>
      <c r="Z47" s="22">
        <f t="shared" si="28"/>
        <v>1</v>
      </c>
      <c r="AA47" s="22">
        <f t="shared" si="29"/>
        <v>0</v>
      </c>
      <c r="AB47" s="22">
        <f t="shared" si="30"/>
        <v>0</v>
      </c>
      <c r="AC47" s="22">
        <f t="shared" si="31"/>
        <v>0</v>
      </c>
      <c r="AD47" s="22">
        <f t="shared" si="32"/>
        <v>0</v>
      </c>
      <c r="AE47" s="22">
        <f t="shared" si="33"/>
        <v>0</v>
      </c>
      <c r="AF47" s="22">
        <f t="shared" si="34"/>
        <v>0</v>
      </c>
      <c r="AG47" s="22">
        <f t="shared" si="35"/>
        <v>0</v>
      </c>
      <c r="AH47" s="22">
        <f t="shared" si="36"/>
        <v>0</v>
      </c>
      <c r="AI47" s="22">
        <f t="shared" si="37"/>
        <v>0</v>
      </c>
      <c r="AJ47" s="82">
        <f t="shared" si="38"/>
        <v>0.16666666666666666</v>
      </c>
      <c r="AK47" s="89"/>
      <c r="AL47" s="89">
        <f t="shared" si="39"/>
        <v>2</v>
      </c>
    </row>
    <row r="48" spans="1:38" s="4" customFormat="1" ht="12" customHeight="1">
      <c r="A48" s="4" t="str">
        <f t="shared" si="25"/>
        <v>TEKOACOMMERCIALRL4TC-COMM</v>
      </c>
      <c r="B48" s="5" t="s">
        <v>109</v>
      </c>
      <c r="C48" s="5" t="s">
        <v>110</v>
      </c>
      <c r="D48" s="20">
        <v>63.05</v>
      </c>
      <c r="E48" s="20"/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3">
        <f t="shared" si="20"/>
        <v>0</v>
      </c>
      <c r="M48" s="20"/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126.1</v>
      </c>
      <c r="T48" s="23">
        <f t="shared" ref="T48:T52" si="40">SUM(N48:S48)</f>
        <v>126.1</v>
      </c>
      <c r="U48" s="23"/>
      <c r="V48" s="23">
        <f t="shared" si="22"/>
        <v>126.1</v>
      </c>
      <c r="X48" s="22">
        <f t="shared" si="26"/>
        <v>0</v>
      </c>
      <c r="Y48" s="22">
        <f t="shared" si="27"/>
        <v>0</v>
      </c>
      <c r="Z48" s="22">
        <f t="shared" si="28"/>
        <v>0</v>
      </c>
      <c r="AA48" s="22">
        <f t="shared" si="29"/>
        <v>0</v>
      </c>
      <c r="AB48" s="22">
        <f t="shared" si="30"/>
        <v>0</v>
      </c>
      <c r="AC48" s="22">
        <f t="shared" si="31"/>
        <v>0</v>
      </c>
      <c r="AD48" s="22">
        <f t="shared" si="32"/>
        <v>0</v>
      </c>
      <c r="AE48" s="22">
        <f t="shared" si="33"/>
        <v>0</v>
      </c>
      <c r="AF48" s="22">
        <f t="shared" si="34"/>
        <v>0</v>
      </c>
      <c r="AG48" s="22">
        <f t="shared" si="35"/>
        <v>0</v>
      </c>
      <c r="AH48" s="22">
        <f t="shared" si="36"/>
        <v>0</v>
      </c>
      <c r="AI48" s="22">
        <f t="shared" si="37"/>
        <v>2</v>
      </c>
      <c r="AJ48" s="82">
        <f t="shared" si="38"/>
        <v>0.16666666666666666</v>
      </c>
      <c r="AK48" s="89"/>
      <c r="AL48" s="89">
        <f t="shared" si="39"/>
        <v>2</v>
      </c>
    </row>
    <row r="49" spans="1:38" s="4" customFormat="1" ht="12" customHeight="1">
      <c r="A49" s="4" t="str">
        <f t="shared" si="25"/>
        <v>TEKOACOMMERCIALEXTRAYDG-COMM</v>
      </c>
      <c r="B49" s="5" t="s">
        <v>113</v>
      </c>
      <c r="C49" s="5" t="s">
        <v>114</v>
      </c>
      <c r="D49" s="20">
        <v>19.559999999999999</v>
      </c>
      <c r="E49" s="20"/>
      <c r="F49" s="21">
        <v>0</v>
      </c>
      <c r="G49" s="21">
        <v>19.559999999999999</v>
      </c>
      <c r="H49" s="21">
        <v>68.459999999999994</v>
      </c>
      <c r="I49" s="21">
        <v>48.9</v>
      </c>
      <c r="J49" s="21">
        <v>19.559999999999999</v>
      </c>
      <c r="K49" s="21">
        <v>0</v>
      </c>
      <c r="L49" s="23">
        <f t="shared" si="20"/>
        <v>156.47999999999999</v>
      </c>
      <c r="M49" s="20"/>
      <c r="N49" s="21">
        <v>9.7799999999999994</v>
      </c>
      <c r="O49" s="21">
        <v>0</v>
      </c>
      <c r="P49" s="21">
        <v>19.559999999999999</v>
      </c>
      <c r="Q49" s="21">
        <v>127.14</v>
      </c>
      <c r="R49" s="21">
        <v>19.559999999999999</v>
      </c>
      <c r="S49" s="21">
        <v>19.559999999999999</v>
      </c>
      <c r="T49" s="23">
        <f t="shared" si="40"/>
        <v>195.6</v>
      </c>
      <c r="U49" s="23"/>
      <c r="V49" s="23">
        <f t="shared" si="22"/>
        <v>352.08</v>
      </c>
      <c r="X49" s="22">
        <f t="shared" si="26"/>
        <v>0</v>
      </c>
      <c r="Y49" s="22">
        <f t="shared" si="27"/>
        <v>1</v>
      </c>
      <c r="Z49" s="22">
        <f t="shared" si="28"/>
        <v>3.5</v>
      </c>
      <c r="AA49" s="22">
        <f t="shared" si="29"/>
        <v>2.5</v>
      </c>
      <c r="AB49" s="22">
        <f t="shared" si="30"/>
        <v>1</v>
      </c>
      <c r="AC49" s="22">
        <f t="shared" si="31"/>
        <v>0</v>
      </c>
      <c r="AD49" s="22">
        <f t="shared" si="32"/>
        <v>0.5</v>
      </c>
      <c r="AE49" s="22">
        <f t="shared" si="33"/>
        <v>0</v>
      </c>
      <c r="AF49" s="22">
        <f t="shared" si="34"/>
        <v>1</v>
      </c>
      <c r="AG49" s="22">
        <f t="shared" si="35"/>
        <v>6.5000000000000009</v>
      </c>
      <c r="AH49" s="22">
        <f t="shared" si="36"/>
        <v>1</v>
      </c>
      <c r="AI49" s="22">
        <f t="shared" si="37"/>
        <v>1</v>
      </c>
      <c r="AJ49" s="82">
        <f t="shared" si="38"/>
        <v>1.5</v>
      </c>
      <c r="AK49" s="89"/>
      <c r="AL49" s="89">
        <f t="shared" si="39"/>
        <v>18</v>
      </c>
    </row>
    <row r="50" spans="1:38" s="4" customFormat="1" ht="12" customHeight="1">
      <c r="A50" s="4" t="str">
        <f t="shared" si="25"/>
        <v>TEKOACOMMERCIALRENT1.5-COMM</v>
      </c>
      <c r="B50" s="5" t="s">
        <v>115</v>
      </c>
      <c r="C50" s="5" t="s">
        <v>116</v>
      </c>
      <c r="D50" s="20">
        <v>12.15</v>
      </c>
      <c r="E50" s="20"/>
      <c r="F50" s="21">
        <v>60.75</v>
      </c>
      <c r="G50" s="21">
        <v>60.75</v>
      </c>
      <c r="H50" s="21">
        <v>60.75</v>
      </c>
      <c r="I50" s="21">
        <v>60.75</v>
      </c>
      <c r="J50" s="21">
        <v>60.75</v>
      </c>
      <c r="K50" s="21">
        <v>60.75</v>
      </c>
      <c r="L50" s="23">
        <f t="shared" si="20"/>
        <v>364.5</v>
      </c>
      <c r="M50" s="20"/>
      <c r="N50" s="21">
        <v>60.75</v>
      </c>
      <c r="O50" s="21">
        <v>60.75</v>
      </c>
      <c r="P50" s="21">
        <v>60.75</v>
      </c>
      <c r="Q50" s="21">
        <v>60.75</v>
      </c>
      <c r="R50" s="21">
        <v>60.75</v>
      </c>
      <c r="S50" s="21">
        <v>72.900000000000006</v>
      </c>
      <c r="T50" s="23">
        <f t="shared" si="40"/>
        <v>376.65</v>
      </c>
      <c r="U50" s="23"/>
      <c r="V50" s="23">
        <f t="shared" si="22"/>
        <v>741.15</v>
      </c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5"/>
    </row>
    <row r="51" spans="1:38" s="4" customFormat="1" ht="12" customHeight="1">
      <c r="A51" s="4" t="str">
        <f t="shared" si="25"/>
        <v>TEKOACOMMERCIALRENT1-COMM</v>
      </c>
      <c r="B51" s="5" t="s">
        <v>119</v>
      </c>
      <c r="C51" s="5" t="s">
        <v>120</v>
      </c>
      <c r="D51" s="20">
        <v>10.11</v>
      </c>
      <c r="E51" s="20"/>
      <c r="F51" s="21">
        <v>10.11</v>
      </c>
      <c r="G51" s="21">
        <v>10.11</v>
      </c>
      <c r="H51" s="21">
        <v>10.11</v>
      </c>
      <c r="I51" s="21">
        <v>10.11</v>
      </c>
      <c r="J51" s="21">
        <v>10.11</v>
      </c>
      <c r="K51" s="21">
        <v>10.11</v>
      </c>
      <c r="L51" s="23">
        <f t="shared" si="20"/>
        <v>60.66</v>
      </c>
      <c r="M51" s="20"/>
      <c r="N51" s="21">
        <v>10.11</v>
      </c>
      <c r="O51" s="21">
        <v>10.11</v>
      </c>
      <c r="P51" s="21">
        <v>10.11</v>
      </c>
      <c r="Q51" s="21">
        <v>10.11</v>
      </c>
      <c r="R51" s="21">
        <v>10.11</v>
      </c>
      <c r="S51" s="21">
        <v>10.11</v>
      </c>
      <c r="T51" s="23">
        <f t="shared" si="40"/>
        <v>60.66</v>
      </c>
      <c r="U51" s="23"/>
      <c r="V51" s="23">
        <f t="shared" si="22"/>
        <v>121.32</v>
      </c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5"/>
    </row>
    <row r="52" spans="1:38" s="4" customFormat="1" ht="12" customHeight="1">
      <c r="A52" s="4" t="str">
        <f t="shared" si="25"/>
        <v>TEKOACOMMERCIALRENT2-COMM</v>
      </c>
      <c r="B52" s="5" t="s">
        <v>121</v>
      </c>
      <c r="C52" s="5" t="s">
        <v>122</v>
      </c>
      <c r="D52" s="20">
        <v>16.690000000000001</v>
      </c>
      <c r="E52" s="20"/>
      <c r="F52" s="21">
        <v>83.45</v>
      </c>
      <c r="G52" s="21">
        <v>83.45</v>
      </c>
      <c r="H52" s="21">
        <v>83.45</v>
      </c>
      <c r="I52" s="21">
        <v>83.45</v>
      </c>
      <c r="J52" s="21">
        <v>83.45</v>
      </c>
      <c r="K52" s="21">
        <v>83.45</v>
      </c>
      <c r="L52" s="23">
        <f t="shared" si="20"/>
        <v>500.7</v>
      </c>
      <c r="M52" s="20"/>
      <c r="N52" s="21">
        <v>83.45</v>
      </c>
      <c r="O52" s="21">
        <v>83.45</v>
      </c>
      <c r="P52" s="21">
        <v>83.45</v>
      </c>
      <c r="Q52" s="21">
        <v>83.45</v>
      </c>
      <c r="R52" s="21">
        <v>83.45</v>
      </c>
      <c r="S52" s="21">
        <v>83.45</v>
      </c>
      <c r="T52" s="23">
        <f t="shared" si="40"/>
        <v>500.7</v>
      </c>
      <c r="U52" s="23"/>
      <c r="V52" s="23">
        <f t="shared" si="22"/>
        <v>1001.4</v>
      </c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5"/>
    </row>
    <row r="53" spans="1:38" s="4" customFormat="1" ht="12" customHeight="1">
      <c r="A53" s="4" t="str">
        <f t="shared" si="25"/>
        <v>TEKOACOMMERCIALRENT2TEMP-COMM</v>
      </c>
      <c r="B53" s="5" t="s">
        <v>123</v>
      </c>
      <c r="C53" s="5" t="s">
        <v>124</v>
      </c>
      <c r="D53" s="20">
        <v>33.44</v>
      </c>
      <c r="E53" s="20"/>
      <c r="F53" s="21">
        <v>8.92</v>
      </c>
      <c r="G53" s="21">
        <v>8.92</v>
      </c>
      <c r="H53" s="21">
        <v>2.23</v>
      </c>
      <c r="I53" s="21">
        <v>0</v>
      </c>
      <c r="J53" s="21">
        <v>0</v>
      </c>
      <c r="K53" s="21">
        <v>0</v>
      </c>
      <c r="L53" s="23">
        <f t="shared" si="20"/>
        <v>20.07</v>
      </c>
      <c r="M53" s="20"/>
      <c r="N53" s="21"/>
      <c r="O53" s="21"/>
      <c r="P53" s="21"/>
      <c r="Q53" s="21"/>
      <c r="R53" s="21"/>
      <c r="S53" s="21"/>
      <c r="T53" s="23"/>
      <c r="U53" s="23"/>
      <c r="V53" s="23">
        <f t="shared" si="22"/>
        <v>20.07</v>
      </c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5"/>
    </row>
    <row r="54" spans="1:38" s="4" customFormat="1" ht="12" customHeight="1">
      <c r="A54" s="4" t="str">
        <f t="shared" si="25"/>
        <v>TEKOACOMMERCIALRENT3-COMM</v>
      </c>
      <c r="B54" s="5" t="s">
        <v>125</v>
      </c>
      <c r="C54" s="5" t="s">
        <v>126</v>
      </c>
      <c r="D54" s="20">
        <v>20.59</v>
      </c>
      <c r="E54" s="20"/>
      <c r="F54" s="21">
        <v>20.59</v>
      </c>
      <c r="G54" s="21">
        <v>20.59</v>
      </c>
      <c r="H54" s="21">
        <v>20.59</v>
      </c>
      <c r="I54" s="21">
        <v>20.59</v>
      </c>
      <c r="J54" s="21">
        <v>20.59</v>
      </c>
      <c r="K54" s="21">
        <v>20.59</v>
      </c>
      <c r="L54" s="23">
        <f t="shared" si="20"/>
        <v>123.54</v>
      </c>
      <c r="M54" s="20"/>
      <c r="N54" s="21">
        <v>20.59</v>
      </c>
      <c r="O54" s="21">
        <v>20.59</v>
      </c>
      <c r="P54" s="21">
        <v>20.59</v>
      </c>
      <c r="Q54" s="21">
        <v>20.59</v>
      </c>
      <c r="R54" s="21">
        <v>20.59</v>
      </c>
      <c r="S54" s="21">
        <v>20.59</v>
      </c>
      <c r="T54" s="23">
        <f>SUM(N54:S54)</f>
        <v>123.54</v>
      </c>
      <c r="U54" s="23"/>
      <c r="V54" s="23">
        <f t="shared" si="22"/>
        <v>247.08</v>
      </c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5"/>
    </row>
    <row r="55" spans="1:38" s="4" customFormat="1" ht="12" customHeight="1">
      <c r="A55" s="4" t="str">
        <f t="shared" si="25"/>
        <v>TEKOACOMMERCIALRENT4-COMM</v>
      </c>
      <c r="B55" s="5" t="s">
        <v>127</v>
      </c>
      <c r="C55" s="5" t="s">
        <v>128</v>
      </c>
      <c r="D55" s="20">
        <v>23.32</v>
      </c>
      <c r="E55" s="20"/>
      <c r="F55" s="21">
        <v>46.64</v>
      </c>
      <c r="G55" s="21">
        <v>46.64</v>
      </c>
      <c r="H55" s="21">
        <v>46.64</v>
      </c>
      <c r="I55" s="21">
        <v>46.64</v>
      </c>
      <c r="J55" s="21">
        <v>46.64</v>
      </c>
      <c r="K55" s="21">
        <v>46.64</v>
      </c>
      <c r="L55" s="23">
        <f t="shared" si="20"/>
        <v>279.83999999999997</v>
      </c>
      <c r="M55" s="20"/>
      <c r="N55" s="21">
        <v>46.64</v>
      </c>
      <c r="O55" s="21">
        <v>46.64</v>
      </c>
      <c r="P55" s="21">
        <v>46.64</v>
      </c>
      <c r="Q55" s="21">
        <v>46.64</v>
      </c>
      <c r="R55" s="21">
        <v>46.64</v>
      </c>
      <c r="S55" s="21">
        <v>46.64</v>
      </c>
      <c r="T55" s="23">
        <f>SUM(N55:S55)</f>
        <v>279.83999999999997</v>
      </c>
      <c r="U55" s="23"/>
      <c r="V55" s="23">
        <f t="shared" si="22"/>
        <v>559.67999999999995</v>
      </c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5"/>
    </row>
    <row r="56" spans="1:38" s="4" customFormat="1" ht="12" customHeight="1">
      <c r="A56" s="4" t="str">
        <f t="shared" si="25"/>
        <v>TEKOACOMMERCIALRENT4TEMP-COMM</v>
      </c>
      <c r="B56" s="5" t="s">
        <v>129</v>
      </c>
      <c r="C56" s="5" t="s">
        <v>130</v>
      </c>
      <c r="D56" s="20">
        <v>44.59</v>
      </c>
      <c r="E56" s="20"/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3">
        <f t="shared" si="20"/>
        <v>0</v>
      </c>
      <c r="M56" s="20"/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15.61</v>
      </c>
      <c r="T56" s="23">
        <f>SUM(N56:S56)</f>
        <v>15.61</v>
      </c>
      <c r="U56" s="23"/>
      <c r="V56" s="23">
        <f t="shared" si="22"/>
        <v>15.61</v>
      </c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5"/>
    </row>
    <row r="57" spans="1:38" s="4" customFormat="1" ht="12" customHeight="1">
      <c r="A57" s="4" t="str">
        <f t="shared" si="25"/>
        <v>TEKOACOMMERCIALRENT6-COMM</v>
      </c>
      <c r="B57" s="5" t="s">
        <v>131</v>
      </c>
      <c r="C57" s="5" t="s">
        <v>132</v>
      </c>
      <c r="D57" s="20">
        <v>30.89</v>
      </c>
      <c r="E57" s="20"/>
      <c r="F57" s="21">
        <v>30.89</v>
      </c>
      <c r="G57" s="21">
        <v>30.89</v>
      </c>
      <c r="H57" s="21">
        <v>30.89</v>
      </c>
      <c r="I57" s="21">
        <v>30.89</v>
      </c>
      <c r="J57" s="21">
        <v>30.89</v>
      </c>
      <c r="K57" s="21">
        <v>30.89</v>
      </c>
      <c r="L57" s="23">
        <f t="shared" ref="L57:L58" si="41">SUM(F57:K57)</f>
        <v>185.33999999999997</v>
      </c>
      <c r="M57" s="20"/>
      <c r="N57" s="21">
        <v>30.89</v>
      </c>
      <c r="O57" s="21">
        <v>30.89</v>
      </c>
      <c r="P57" s="21">
        <v>30.89</v>
      </c>
      <c r="Q57" s="21">
        <v>30.89</v>
      </c>
      <c r="R57" s="21">
        <v>30.89</v>
      </c>
      <c r="S57" s="21">
        <v>30.89</v>
      </c>
      <c r="T57" s="23">
        <f t="shared" ref="T57:T58" si="42">SUM(N57:S57)</f>
        <v>185.33999999999997</v>
      </c>
      <c r="U57" s="23"/>
      <c r="V57" s="23">
        <f t="shared" si="22"/>
        <v>370.67999999999995</v>
      </c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5"/>
    </row>
    <row r="58" spans="1:38" s="4" customFormat="1" ht="12" customHeight="1">
      <c r="A58" s="4" t="str">
        <f t="shared" si="25"/>
        <v>TEKOACOMMERCIALRENT8-COMM</v>
      </c>
      <c r="B58" s="5" t="s">
        <v>219</v>
      </c>
      <c r="C58" s="5" t="s">
        <v>220</v>
      </c>
      <c r="D58" s="20">
        <v>37.340000000000003</v>
      </c>
      <c r="E58" s="20"/>
      <c r="F58" s="21">
        <v>37.340000000000003</v>
      </c>
      <c r="G58" s="21">
        <v>37.340000000000003</v>
      </c>
      <c r="H58" s="21">
        <v>37.340000000000003</v>
      </c>
      <c r="I58" s="21">
        <v>37.340000000000003</v>
      </c>
      <c r="J58" s="21">
        <v>37.340000000000003</v>
      </c>
      <c r="K58" s="21">
        <v>37.340000000000003</v>
      </c>
      <c r="L58" s="23">
        <f t="shared" si="41"/>
        <v>224.04000000000002</v>
      </c>
      <c r="M58" s="20"/>
      <c r="N58" s="21">
        <v>37.340000000000003</v>
      </c>
      <c r="O58" s="21">
        <v>37.340000000000003</v>
      </c>
      <c r="P58" s="21">
        <v>37.340000000000003</v>
      </c>
      <c r="Q58" s="21">
        <v>37.340000000000003</v>
      </c>
      <c r="R58" s="21">
        <v>37.340000000000003</v>
      </c>
      <c r="S58" s="21">
        <v>37.340000000000003</v>
      </c>
      <c r="T58" s="23">
        <f t="shared" si="42"/>
        <v>224.04000000000002</v>
      </c>
      <c r="U58" s="23"/>
      <c r="V58" s="23">
        <f t="shared" si="22"/>
        <v>448.08000000000004</v>
      </c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5"/>
    </row>
    <row r="59" spans="1:38" s="4" customFormat="1" ht="12" customHeight="1">
      <c r="A59" s="4" t="str">
        <f t="shared" si="25"/>
        <v>TEKOACOMMERCIALDELTEMP-COMM</v>
      </c>
      <c r="B59" s="5" t="s">
        <v>133</v>
      </c>
      <c r="C59" s="5" t="s">
        <v>134</v>
      </c>
      <c r="D59" s="20"/>
      <c r="E59" s="20"/>
      <c r="F59" s="21">
        <v>51.84</v>
      </c>
      <c r="G59" s="21">
        <v>51.84</v>
      </c>
      <c r="H59" s="21">
        <v>0</v>
      </c>
      <c r="I59" s="21">
        <v>0</v>
      </c>
      <c r="J59" s="21">
        <v>0</v>
      </c>
      <c r="K59" s="21">
        <v>0</v>
      </c>
      <c r="L59" s="23">
        <f>SUM(F59:K59)</f>
        <v>103.68</v>
      </c>
      <c r="M59" s="20"/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103.68</v>
      </c>
      <c r="T59" s="23">
        <f>SUM(N59:S59)</f>
        <v>103.68</v>
      </c>
      <c r="U59" s="23"/>
      <c r="V59" s="23">
        <f t="shared" si="22"/>
        <v>207.36</v>
      </c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5"/>
    </row>
    <row r="60" spans="1:38" s="2" customFormat="1" ht="12.75" customHeight="1">
      <c r="A60" s="4" t="str">
        <f t="shared" si="25"/>
        <v>TEKOACOMMERCIALHAULMED-COMM</v>
      </c>
      <c r="B60" s="5" t="s">
        <v>221</v>
      </c>
      <c r="C60" s="5" t="s">
        <v>222</v>
      </c>
      <c r="D60" s="20"/>
      <c r="E60" s="20"/>
      <c r="F60" s="21">
        <v>0</v>
      </c>
      <c r="G60" s="21">
        <v>0</v>
      </c>
      <c r="H60" s="21">
        <v>0</v>
      </c>
      <c r="I60" s="21">
        <v>50.43</v>
      </c>
      <c r="J60" s="21">
        <v>0</v>
      </c>
      <c r="K60" s="21">
        <v>0</v>
      </c>
      <c r="L60" s="23">
        <f>SUM(F60:K60)</f>
        <v>50.43</v>
      </c>
      <c r="M60" s="20"/>
      <c r="N60" s="21">
        <v>0</v>
      </c>
      <c r="O60" s="21">
        <v>0</v>
      </c>
      <c r="P60" s="21">
        <v>50.43</v>
      </c>
      <c r="Q60" s="21">
        <v>0</v>
      </c>
      <c r="R60" s="21">
        <v>50.43</v>
      </c>
      <c r="S60" s="21">
        <v>0</v>
      </c>
      <c r="T60" s="23">
        <f>SUM(N60:S60)</f>
        <v>100.86</v>
      </c>
      <c r="U60" s="23"/>
      <c r="V60" s="23">
        <f t="shared" si="22"/>
        <v>151.29</v>
      </c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</row>
    <row r="61" spans="1:38" s="2" customFormat="1" ht="12" customHeight="1">
      <c r="A61" s="4" t="str">
        <f t="shared" si="25"/>
        <v>TEKOACOMMERCIALADMINFEE-COMM</v>
      </c>
      <c r="B61" s="60" t="s">
        <v>279</v>
      </c>
      <c r="C61" s="60" t="s">
        <v>280</v>
      </c>
      <c r="D61" s="20"/>
      <c r="E61" s="20"/>
      <c r="F61" s="21">
        <v>-2728.08</v>
      </c>
      <c r="G61" s="21">
        <v>-2694.1000000000004</v>
      </c>
      <c r="H61" s="21">
        <v>-2662.7200000000003</v>
      </c>
      <c r="I61" s="21">
        <v>-2654.0299999999997</v>
      </c>
      <c r="J61" s="21">
        <v>-2652.3199999999997</v>
      </c>
      <c r="K61" s="21">
        <v>-2639.59</v>
      </c>
      <c r="L61" s="23">
        <f>SUM(F61:K61)</f>
        <v>-16030.84</v>
      </c>
      <c r="M61" s="20"/>
      <c r="N61" s="21">
        <v>-2595.58</v>
      </c>
      <c r="O61" s="21">
        <v>-2553.4499999999998</v>
      </c>
      <c r="P61" s="21">
        <v>-2566.69</v>
      </c>
      <c r="Q61" s="21">
        <v>-2596.08</v>
      </c>
      <c r="R61" s="21">
        <v>-2613.5500000000002</v>
      </c>
      <c r="S61" s="21">
        <v>-2690.34</v>
      </c>
      <c r="T61" s="23">
        <f>SUM(N61:S61)</f>
        <v>-15615.689999999999</v>
      </c>
      <c r="U61" s="23"/>
      <c r="V61" s="23">
        <f t="shared" si="22"/>
        <v>-31646.53</v>
      </c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</row>
    <row r="62" spans="1:38" s="4" customFormat="1" ht="12" customHeight="1" thickBot="1">
      <c r="B62" s="36"/>
      <c r="C62" s="36"/>
      <c r="D62" s="20"/>
      <c r="E62" s="20"/>
      <c r="F62" s="22"/>
      <c r="G62" s="22"/>
      <c r="H62" s="22"/>
      <c r="I62" s="22"/>
      <c r="J62" s="22"/>
      <c r="K62" s="22"/>
      <c r="L62" s="23"/>
      <c r="M62" s="20"/>
      <c r="N62" s="22"/>
      <c r="O62" s="22"/>
      <c r="P62" s="22"/>
      <c r="Q62" s="22"/>
      <c r="R62" s="22"/>
      <c r="S62" s="22"/>
      <c r="T62" s="23"/>
      <c r="U62" s="23"/>
      <c r="V62" s="23"/>
      <c r="AJ62" s="5"/>
    </row>
    <row r="63" spans="1:38" s="4" customFormat="1" ht="12" customHeight="1" thickBot="1">
      <c r="B63" s="36"/>
      <c r="C63" s="37" t="s">
        <v>13</v>
      </c>
      <c r="D63" s="20"/>
      <c r="E63" s="20"/>
      <c r="F63" s="27">
        <f t="shared" ref="F63:L63" si="43">SUM(F32:F62)</f>
        <v>1707.7800000000007</v>
      </c>
      <c r="G63" s="27">
        <f t="shared" si="43"/>
        <v>1741.5900000000001</v>
      </c>
      <c r="H63" s="27">
        <f t="shared" si="43"/>
        <v>1687.0000000000009</v>
      </c>
      <c r="I63" s="27">
        <f t="shared" si="43"/>
        <v>1680.510000000002</v>
      </c>
      <c r="J63" s="27">
        <f t="shared" si="43"/>
        <v>1646.0700000000015</v>
      </c>
      <c r="K63" s="27">
        <f t="shared" si="43"/>
        <v>1558.2900000000009</v>
      </c>
      <c r="L63" s="27">
        <f t="shared" si="43"/>
        <v>10021.240000000002</v>
      </c>
      <c r="M63" s="20"/>
      <c r="N63" s="27">
        <f t="shared" ref="N63:T63" si="44">SUM(N32:N62)</f>
        <v>1596.0800000000017</v>
      </c>
      <c r="O63" s="27">
        <f t="shared" si="44"/>
        <v>1636.4300000000012</v>
      </c>
      <c r="P63" s="27">
        <f t="shared" si="44"/>
        <v>1707.1800000000017</v>
      </c>
      <c r="Q63" s="27">
        <f t="shared" si="44"/>
        <v>1708.9400000000014</v>
      </c>
      <c r="R63" s="27">
        <f t="shared" si="44"/>
        <v>1735.6500000000015</v>
      </c>
      <c r="S63" s="27">
        <f t="shared" si="44"/>
        <v>1974.130000000001</v>
      </c>
      <c r="T63" s="27">
        <f t="shared" si="44"/>
        <v>10358.410000000007</v>
      </c>
      <c r="U63" s="43"/>
      <c r="V63" s="27">
        <f>SUM(V32:V62)</f>
        <v>20379.650000000023</v>
      </c>
      <c r="AJ63" s="84">
        <f>SUM(AJ32:AJ41,AJ43:AJ44,AJ47:AJ48)</f>
        <v>27.104166666666671</v>
      </c>
    </row>
    <row r="64" spans="1:38" ht="12" customHeight="1">
      <c r="B64" s="25"/>
      <c r="C64" s="40"/>
    </row>
    <row r="65" spans="2:23" ht="12" customHeight="1">
      <c r="B65" s="6"/>
      <c r="C65" s="37" t="s">
        <v>27</v>
      </c>
      <c r="F65" s="27">
        <f>SUM(F27,F63)</f>
        <v>8591.9600000000009</v>
      </c>
      <c r="G65" s="27">
        <f t="shared" ref="G65:V65" si="45">SUM(G27,G63)</f>
        <v>8446.5099999999984</v>
      </c>
      <c r="H65" s="27">
        <f t="shared" si="45"/>
        <v>8470.09</v>
      </c>
      <c r="I65" s="27">
        <f t="shared" si="45"/>
        <v>8404.4200000000019</v>
      </c>
      <c r="J65" s="27">
        <f t="shared" si="45"/>
        <v>8403.9700000000012</v>
      </c>
      <c r="K65" s="27">
        <f t="shared" si="45"/>
        <v>8312.77</v>
      </c>
      <c r="L65" s="27">
        <f t="shared" si="45"/>
        <v>50629.72</v>
      </c>
      <c r="N65" s="27">
        <f t="shared" si="45"/>
        <v>8081.8900000000021</v>
      </c>
      <c r="O65" s="27">
        <f t="shared" si="45"/>
        <v>8047.8</v>
      </c>
      <c r="P65" s="27">
        <f t="shared" si="45"/>
        <v>8289.61</v>
      </c>
      <c r="Q65" s="27">
        <f t="shared" si="45"/>
        <v>8250.0800000000017</v>
      </c>
      <c r="R65" s="27">
        <f t="shared" si="45"/>
        <v>8327.8700000000026</v>
      </c>
      <c r="S65" s="27">
        <f t="shared" si="45"/>
        <v>8795.77</v>
      </c>
      <c r="T65" s="27">
        <f t="shared" si="45"/>
        <v>49793.020000000033</v>
      </c>
      <c r="U65" s="43"/>
      <c r="V65" s="27">
        <f t="shared" si="45"/>
        <v>100422.74</v>
      </c>
    </row>
    <row r="66" spans="2:23">
      <c r="B66" s="6"/>
      <c r="C66" s="6"/>
    </row>
    <row r="67" spans="2:23">
      <c r="F67" s="5">
        <v>8591.9600000000009</v>
      </c>
      <c r="G67" s="5">
        <v>8446.5099999999984</v>
      </c>
      <c r="H67" s="5">
        <v>8470.0899999999983</v>
      </c>
      <c r="I67" s="5">
        <v>8404.42</v>
      </c>
      <c r="J67" s="5">
        <v>8403.9699999999993</v>
      </c>
      <c r="K67" s="5">
        <v>8312.7699999999986</v>
      </c>
      <c r="N67" s="5">
        <v>8081.8899999999994</v>
      </c>
      <c r="O67" s="5">
        <v>8047.8</v>
      </c>
      <c r="P67" s="5">
        <v>8289.61</v>
      </c>
      <c r="Q67" s="5">
        <v>8250.08</v>
      </c>
      <c r="R67" s="5">
        <v>8327.869999999999</v>
      </c>
      <c r="S67" s="5">
        <v>8795.77</v>
      </c>
      <c r="W67" s="5" t="s">
        <v>519</v>
      </c>
    </row>
    <row r="68" spans="2:23">
      <c r="F68" s="80">
        <f>F67-F65</f>
        <v>0</v>
      </c>
      <c r="G68" s="80">
        <f t="shared" ref="G68" si="46">G67-G65</f>
        <v>0</v>
      </c>
      <c r="H68" s="80">
        <f t="shared" ref="H68" si="47">H67-H65</f>
        <v>0</v>
      </c>
      <c r="I68" s="80">
        <f t="shared" ref="I68" si="48">I67-I65</f>
        <v>0</v>
      </c>
      <c r="J68" s="80">
        <f t="shared" ref="J68" si="49">J67-J65</f>
        <v>0</v>
      </c>
      <c r="K68" s="80">
        <f t="shared" ref="K68" si="50">K67-K65</f>
        <v>0</v>
      </c>
      <c r="N68" s="80">
        <f>N67-N65</f>
        <v>0</v>
      </c>
      <c r="O68" s="80">
        <f t="shared" ref="O68:S68" si="51">O67-O65</f>
        <v>0</v>
      </c>
      <c r="P68" s="80">
        <f t="shared" si="51"/>
        <v>0</v>
      </c>
      <c r="Q68" s="80">
        <f t="shared" si="51"/>
        <v>0</v>
      </c>
      <c r="R68" s="80">
        <f t="shared" si="51"/>
        <v>0</v>
      </c>
      <c r="S68" s="80">
        <f t="shared" si="51"/>
        <v>0</v>
      </c>
      <c r="W68" s="5" t="s">
        <v>517</v>
      </c>
    </row>
  </sheetData>
  <pageMargins left="0.7" right="0.7" top="0.75" bottom="0.75" header="0.3" footer="0.3"/>
  <pageSetup scale="6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T310"/>
  <sheetViews>
    <sheetView showGridLines="0" topLeftCell="D7" zoomScale="75" zoomScaleNormal="75" workbookViewId="0">
      <pane xSplit="5" ySplit="5" topLeftCell="I12" activePane="bottomRight" state="frozen"/>
      <selection activeCell="D7" sqref="D7"/>
      <selection pane="topRight" activeCell="I7" sqref="I7"/>
      <selection pane="bottomLeft" activeCell="D12" sqref="D12"/>
      <selection pane="bottomRight" activeCell="Y23" sqref="Y23"/>
    </sheetView>
  </sheetViews>
  <sheetFormatPr defaultColWidth="13.85546875" defaultRowHeight="12.75" outlineLevelRow="1"/>
  <cols>
    <col min="1" max="1" width="110.28515625" style="61" customWidth="1"/>
    <col min="2" max="2" width="18.42578125" style="61" customWidth="1"/>
    <col min="3" max="3" width="13.85546875" style="61"/>
    <col min="4" max="4" width="6.85546875" style="61" customWidth="1"/>
    <col min="5" max="6" width="2.28515625" style="61" customWidth="1"/>
    <col min="7" max="7" width="28" style="61" customWidth="1"/>
    <col min="8" max="8" width="2.28515625" style="61" customWidth="1"/>
    <col min="9" max="9" width="2.140625" style="61" customWidth="1"/>
    <col min="10" max="10" width="12.28515625" style="77" customWidth="1"/>
    <col min="11" max="11" width="0.85546875" style="61" customWidth="1"/>
    <col min="12" max="12" width="12.28515625" style="77" customWidth="1"/>
    <col min="13" max="13" width="1.5703125" style="61" customWidth="1"/>
    <col min="14" max="14" width="12.28515625" style="77" customWidth="1"/>
    <col min="15" max="15" width="1.5703125" style="61" customWidth="1"/>
    <col min="16" max="16" width="12.28515625" style="77" customWidth="1"/>
    <col min="17" max="17" width="5.28515625" style="61" customWidth="1"/>
    <col min="18" max="18" width="1.42578125" style="61" customWidth="1"/>
    <col min="19" max="19" width="1.28515625" style="61" customWidth="1"/>
    <col min="20" max="16384" width="13.85546875" style="61"/>
  </cols>
  <sheetData>
    <row r="1" spans="1:20">
      <c r="D1" s="61" t="s">
        <v>291</v>
      </c>
      <c r="E1" s="61" t="s">
        <v>292</v>
      </c>
      <c r="F1" s="62"/>
      <c r="G1" s="63"/>
      <c r="J1" s="61" t="s">
        <v>293</v>
      </c>
      <c r="L1" s="61" t="s">
        <v>294</v>
      </c>
      <c r="N1" s="61" t="s">
        <v>295</v>
      </c>
      <c r="P1" s="64" t="s">
        <v>525</v>
      </c>
    </row>
    <row r="2" spans="1:20" outlineLevel="1">
      <c r="A2" s="105"/>
      <c r="B2" s="106"/>
      <c r="C2" s="105"/>
      <c r="D2" s="107"/>
      <c r="E2" s="107"/>
      <c r="F2" s="108"/>
      <c r="G2" s="109"/>
      <c r="H2" s="110"/>
      <c r="I2" s="111"/>
      <c r="J2" s="112">
        <v>0</v>
      </c>
      <c r="K2" s="111"/>
      <c r="L2" s="112">
        <v>0</v>
      </c>
      <c r="M2" s="111"/>
      <c r="N2" s="112">
        <v>0</v>
      </c>
      <c r="O2" s="111"/>
      <c r="P2" s="112">
        <v>0</v>
      </c>
      <c r="Q2" s="113">
        <f>IF(P$57=0,0,P2/P$57)</f>
        <v>0</v>
      </c>
      <c r="R2" s="114"/>
      <c r="S2" s="115"/>
      <c r="T2" s="105"/>
    </row>
    <row r="3" spans="1:20">
      <c r="D3" s="66"/>
      <c r="E3" s="66"/>
      <c r="F3" s="66"/>
      <c r="G3" s="66"/>
      <c r="H3" s="66"/>
      <c r="I3" s="66"/>
      <c r="J3" s="61" t="str">
        <f>TEXT(EDATE(DATEVALUE(RIGHT($N$3,2)&amp;"/1/"&amp;LEFT($N$3,4)),-2),"yyyy-mm")</f>
        <v>2015-07</v>
      </c>
      <c r="L3" s="61" t="str">
        <f>TEXT(EDATE(DATEVALUE(RIGHT($N$3,2)&amp;"/1/"&amp;LEFT($N$3,4)),-1),"yyyy-mm")</f>
        <v>2015-08</v>
      </c>
      <c r="N3" s="61" t="str">
        <f>D9</f>
        <v>2015-09</v>
      </c>
      <c r="P3" s="61"/>
    </row>
    <row r="4" spans="1:20">
      <c r="A4" s="61" t="str">
        <f>_xll.jBinder("MarkerCell")</f>
        <v>jBinderOption{MarkerCell}: This cell will be used to note the tab was created from the binder.</v>
      </c>
      <c r="B4" s="67" t="str">
        <f ca="1">_xll.ReportVariable("FinCube",B13:B310,1:1,2:2,_xll.Param("PL"&amp;IF(ExcludeIC=TRUE,",!Eliminated",""),District,System,,,,"*",,RIGHT(YearMonth,2),LEFT(YearMonth,4),,,1,,FALSE))</f>
        <v>OK!: ReportVariable Formula OK [jAction{}]</v>
      </c>
      <c r="D4" s="66"/>
      <c r="E4" s="66"/>
      <c r="F4" s="66"/>
      <c r="G4" s="66"/>
      <c r="H4" s="66"/>
      <c r="I4" s="66"/>
      <c r="J4" s="61" t="s">
        <v>296</v>
      </c>
      <c r="L4" s="61" t="s">
        <v>296</v>
      </c>
      <c r="N4" s="61" t="s">
        <v>296</v>
      </c>
      <c r="P4" s="61"/>
    </row>
    <row r="5" spans="1:20" ht="15">
      <c r="A5" s="61" t="str">
        <f>_xll.jBinder("ChooseSegmentListtoIterateThru","Dist")</f>
        <v>jBinderOption{ChooseSegmentListtoIterateThru|Dist}: Option "ChooseSegmentListtoIterateThru" has value "Dist"</v>
      </c>
      <c r="B5" s="61" t="str">
        <f ca="1">_xll.ReportDrill(,"JEQuery_WithStaged",_xll.PairGroup(_xll.PairExt("C:d","Accounts"),_xll.PairExt(System,"Systems","N"),_xll.PairExt("R:3","DateFrom","Y"),_xll.PairExt("R:3","DateTo","Y"),_xll.PairExt(District,"Districts"),_xll.PairExt("","SubSystems","n"),_xll.PairExt("","VendorCode","n"),_xll.PairExt("","AmountFrom","N"),_xll.PairExt("","AmountTo","n"),_xll.PairExt("R:4","Posting","Y")),"Drill To JEQuery")</f>
        <v>OK!: ReportDrill 'Drill To JEQuery' Formula OK [jAction{}]</v>
      </c>
      <c r="G5" s="68"/>
      <c r="J5" s="61"/>
      <c r="L5" s="61"/>
      <c r="N5" s="61"/>
      <c r="P5" s="61"/>
    </row>
    <row r="6" spans="1:20">
      <c r="A6" s="61" t="str">
        <f>_xll.jBinder("CreateSummaryTab","False")</f>
        <v>jBinderOption{CreateSummaryTab|False}: Option "CreateSummaryTab" has value "False"</v>
      </c>
      <c r="B6" s="116" t="str">
        <f ca="1">_xll.ReportDrill(,"JEQuery_WithStaged",_xll.PairGroup(_xll.PairExt("C:a","Accounts"),_xll.PairExt(System,"Systems","N"),_xll.PairExt("R:3","DateFrom","Y"),_xll.PairExt("R:3","DateTo","Y"),_xll.PairExt(District,"Districts"),_xll.PairExt("","SubSystems","n"),_xll.PairExt("","VendorCode","n"),_xll.PairExt("","AmountFrom","N"),_xll.PairExt("","AmountTo","n"),_xll.PairExt("R:4","Posting","Y")),"Drill To JEQuery")</f>
        <v>OK!: ReportDrill 'Drill To JEQuery' Formula OK [jAction{}]</v>
      </c>
      <c r="J6" s="61"/>
      <c r="L6" s="61"/>
      <c r="N6" s="61"/>
      <c r="P6" s="61"/>
    </row>
    <row r="7" spans="1:20" s="70" customFormat="1" ht="15.75">
      <c r="A7" s="61" t="str">
        <f ca="1">_xll.jBinder("Dist",District)</f>
        <v>jBinderOption{Dist||N7}: "Dist" can iterate on cell "N7"</v>
      </c>
      <c r="B7" s="117">
        <f>DATEVALUE(RIGHT(YearMonth,2)&amp;"/1/"&amp;LEFT(YearMonth,4))</f>
        <v>42248</v>
      </c>
      <c r="C7" s="61"/>
      <c r="D7" s="69" t="s">
        <v>297</v>
      </c>
      <c r="M7" s="71" t="s">
        <v>298</v>
      </c>
      <c r="N7" s="73" t="s">
        <v>299</v>
      </c>
      <c r="P7" s="72"/>
    </row>
    <row r="8" spans="1:20" s="70" customFormat="1" ht="15.75">
      <c r="A8" s="61" t="str">
        <f>_xll.jBinder("TabSuffix","_IS210")</f>
        <v>jBinderOption{TabSuffix|_IS210}: Option "TabSuffix" has value "_IS210"</v>
      </c>
      <c r="B8" s="117">
        <f>DATEVALUE("1/1/"&amp;LEFT(YearMonth,4))</f>
        <v>42005</v>
      </c>
      <c r="D8" s="69" t="s">
        <v>300</v>
      </c>
      <c r="N8" s="73" t="s">
        <v>301</v>
      </c>
      <c r="T8" s="118"/>
    </row>
    <row r="9" spans="1:20" s="70" customFormat="1" ht="15.75">
      <c r="A9" s="61"/>
      <c r="D9" s="74" t="s">
        <v>526</v>
      </c>
      <c r="J9" s="119" t="s">
        <v>527</v>
      </c>
      <c r="K9" s="75"/>
      <c r="L9" s="119" t="s">
        <v>527</v>
      </c>
      <c r="M9" s="75"/>
      <c r="N9" s="119" t="s">
        <v>527</v>
      </c>
      <c r="O9" s="75"/>
      <c r="P9" s="75"/>
      <c r="Q9" s="75"/>
      <c r="R9" s="75"/>
    </row>
    <row r="10" spans="1:20" s="70" customFormat="1" ht="15">
      <c r="A10" s="105"/>
      <c r="B10" s="120"/>
      <c r="C10" s="120"/>
      <c r="D10" s="120"/>
      <c r="E10" s="120"/>
      <c r="F10" s="120"/>
      <c r="G10" s="120"/>
      <c r="H10" s="120"/>
      <c r="I10" s="120"/>
      <c r="J10" s="121" t="s">
        <v>302</v>
      </c>
      <c r="K10" s="122"/>
      <c r="L10" s="121"/>
      <c r="M10" s="122"/>
      <c r="N10" s="123"/>
      <c r="O10" s="122"/>
      <c r="P10" s="121"/>
      <c r="Q10" s="124"/>
      <c r="R10" s="120"/>
      <c r="S10" s="120"/>
      <c r="T10" s="120"/>
    </row>
    <row r="11" spans="1:20" s="70" customFormat="1" ht="15.75" thickBot="1">
      <c r="A11" s="105"/>
      <c r="B11" s="125" t="s">
        <v>303</v>
      </c>
      <c r="C11" s="120"/>
      <c r="D11" s="120"/>
      <c r="E11" s="120"/>
      <c r="F11" s="120"/>
      <c r="G11" s="120"/>
      <c r="H11" s="120"/>
      <c r="I11" s="120"/>
      <c r="J11" s="126">
        <f>IFERROR(EDATE($B$7,-2),"")</f>
        <v>42186</v>
      </c>
      <c r="K11" s="127"/>
      <c r="L11" s="126">
        <f>IFERROR(EDATE($B$7,-1),"")</f>
        <v>42217</v>
      </c>
      <c r="M11" s="127"/>
      <c r="N11" s="126">
        <f>IFERROR($B$7,"")</f>
        <v>42248</v>
      </c>
      <c r="O11" s="128"/>
      <c r="P11" s="129" t="s">
        <v>528</v>
      </c>
      <c r="Q11" s="130"/>
      <c r="R11" s="120"/>
      <c r="S11" s="120"/>
      <c r="T11" s="120"/>
    </row>
    <row r="12" spans="1:20" s="75" customFormat="1">
      <c r="A12" s="120"/>
      <c r="B12" s="131"/>
      <c r="C12" s="120"/>
      <c r="D12" s="120"/>
      <c r="E12" s="120" t="s">
        <v>305</v>
      </c>
      <c r="F12" s="132"/>
      <c r="G12" s="133"/>
      <c r="H12" s="120"/>
      <c r="I12" s="120"/>
      <c r="J12" s="134">
        <f>IFERROR(NETWORKDAYS(J11,EOMONTH(J11,0)),"")</f>
        <v>23</v>
      </c>
      <c r="K12" s="120"/>
      <c r="L12" s="134">
        <f>IFERROR(NETWORKDAYS(L11,EOMONTH(L11,0)),"")</f>
        <v>21</v>
      </c>
      <c r="M12" s="120"/>
      <c r="N12" s="134">
        <f>IFERROR(NETWORKDAYS(N11,EOMONTH(N11,0)),"")</f>
        <v>22</v>
      </c>
      <c r="O12" s="120"/>
      <c r="P12" s="134">
        <f>IFERROR(NETWORKDAYS($B$8,EOMONTH($B$7,0)),"")</f>
        <v>195</v>
      </c>
      <c r="Q12" s="76"/>
      <c r="R12" s="120"/>
      <c r="S12" s="120"/>
      <c r="T12" s="120"/>
    </row>
    <row r="13" spans="1:20" s="75" customFormat="1" hidden="1">
      <c r="A13" s="120"/>
      <c r="B13" s="131" t="s">
        <v>304</v>
      </c>
      <c r="C13" s="120"/>
      <c r="D13" s="120"/>
      <c r="E13" s="133"/>
      <c r="F13" s="132"/>
      <c r="G13" s="133"/>
      <c r="H13" s="120"/>
      <c r="I13" s="120"/>
      <c r="J13" s="134"/>
      <c r="K13" s="120"/>
      <c r="L13" s="134"/>
      <c r="M13" s="120"/>
      <c r="N13" s="134"/>
      <c r="O13" s="120"/>
      <c r="P13" s="134"/>
      <c r="Q13" s="135"/>
      <c r="R13" s="120"/>
      <c r="S13" s="120"/>
      <c r="T13" s="120"/>
    </row>
    <row r="14" spans="1:20" s="65" customFormat="1" ht="4.5" customHeight="1">
      <c r="A14" s="110"/>
      <c r="B14" s="110"/>
      <c r="C14" s="110"/>
      <c r="D14" s="110"/>
      <c r="E14" s="110"/>
      <c r="F14" s="110"/>
      <c r="G14" s="110"/>
      <c r="H14" s="110"/>
      <c r="I14" s="110"/>
      <c r="J14" s="111"/>
      <c r="K14" s="120"/>
      <c r="L14" s="111"/>
      <c r="M14" s="120"/>
      <c r="N14" s="111"/>
      <c r="O14" s="120"/>
      <c r="P14" s="111"/>
      <c r="Q14" s="136"/>
      <c r="R14" s="120"/>
      <c r="S14" s="120"/>
      <c r="T14" s="110"/>
    </row>
    <row r="15" spans="1:20" s="65" customFormat="1" outlineLevel="1">
      <c r="A15" s="110"/>
      <c r="B15" s="110"/>
      <c r="C15" s="110"/>
      <c r="D15" s="110"/>
      <c r="E15" s="110"/>
      <c r="F15" s="110"/>
      <c r="G15" s="110"/>
      <c r="H15" s="110"/>
      <c r="I15" s="110"/>
      <c r="J15" s="111"/>
      <c r="K15" s="120"/>
      <c r="L15" s="111"/>
      <c r="M15" s="120"/>
      <c r="N15" s="111"/>
      <c r="O15" s="120"/>
      <c r="P15" s="111"/>
      <c r="Q15" s="137"/>
      <c r="R15" s="120"/>
      <c r="S15" s="120"/>
      <c r="T15" s="110"/>
    </row>
    <row r="16" spans="1:20" outlineLevel="1">
      <c r="A16" s="105"/>
      <c r="B16" s="106" t="s">
        <v>306</v>
      </c>
      <c r="C16" s="105"/>
      <c r="D16" s="107">
        <v>31000</v>
      </c>
      <c r="E16" s="107" t="s">
        <v>307</v>
      </c>
      <c r="F16" s="108"/>
      <c r="G16" s="109"/>
      <c r="H16" s="110"/>
      <c r="I16" s="111"/>
      <c r="J16" s="112">
        <v>5975.37</v>
      </c>
      <c r="K16" s="111"/>
      <c r="L16" s="112">
        <v>8704.0300000000007</v>
      </c>
      <c r="M16" s="111"/>
      <c r="N16" s="112">
        <v>7382.58</v>
      </c>
      <c r="O16" s="111"/>
      <c r="P16" s="112">
        <v>53374.45</v>
      </c>
      <c r="Q16" s="113">
        <f t="shared" ref="Q16:Q23" si="0">IF(P$57=0,0,P16/P$57)</f>
        <v>2.4078926350415145E-2</v>
      </c>
      <c r="R16" s="114"/>
      <c r="S16" s="115"/>
      <c r="T16" s="105"/>
    </row>
    <row r="17" spans="1:20" outlineLevel="1">
      <c r="A17" s="105"/>
      <c r="B17" s="106" t="s">
        <v>308</v>
      </c>
      <c r="C17" s="105"/>
      <c r="D17" s="107">
        <v>31005</v>
      </c>
      <c r="E17" s="107" t="s">
        <v>309</v>
      </c>
      <c r="F17" s="108"/>
      <c r="G17" s="109"/>
      <c r="H17" s="110"/>
      <c r="I17" s="111"/>
      <c r="J17" s="112">
        <v>6064</v>
      </c>
      <c r="K17" s="111"/>
      <c r="L17" s="112">
        <v>7204.46</v>
      </c>
      <c r="M17" s="111"/>
      <c r="N17" s="112">
        <v>6388.82</v>
      </c>
      <c r="O17" s="111"/>
      <c r="P17" s="112">
        <v>50770.89</v>
      </c>
      <c r="Q17" s="113">
        <f t="shared" si="0"/>
        <v>2.2904376926694867E-2</v>
      </c>
      <c r="R17" s="114"/>
      <c r="S17" s="115"/>
      <c r="T17" s="105"/>
    </row>
    <row r="18" spans="1:20" outlineLevel="1">
      <c r="A18" s="105"/>
      <c r="B18" s="106" t="s">
        <v>308</v>
      </c>
      <c r="C18" s="105"/>
      <c r="D18" s="107">
        <v>31010</v>
      </c>
      <c r="E18" s="107" t="s">
        <v>310</v>
      </c>
      <c r="F18" s="108"/>
      <c r="G18" s="109"/>
      <c r="H18" s="110"/>
      <c r="I18" s="111"/>
      <c r="J18" s="112">
        <v>3564.6</v>
      </c>
      <c r="K18" s="111"/>
      <c r="L18" s="112">
        <v>4617.33</v>
      </c>
      <c r="M18" s="111"/>
      <c r="N18" s="112">
        <v>2768.17</v>
      </c>
      <c r="O18" s="111"/>
      <c r="P18" s="112">
        <v>24319.55</v>
      </c>
      <c r="Q18" s="113">
        <f t="shared" si="0"/>
        <v>1.0971329040865781E-2</v>
      </c>
      <c r="R18" s="114"/>
      <c r="S18" s="115"/>
      <c r="T18" s="105"/>
    </row>
    <row r="19" spans="1:20" outlineLevel="1">
      <c r="A19" s="105"/>
      <c r="B19" s="106" t="s">
        <v>308</v>
      </c>
      <c r="C19" s="105"/>
      <c r="D19" s="107">
        <v>32000</v>
      </c>
      <c r="E19" s="107" t="s">
        <v>311</v>
      </c>
      <c r="F19" s="108"/>
      <c r="G19" s="109"/>
      <c r="H19" s="110"/>
      <c r="I19" s="111"/>
      <c r="J19" s="112">
        <v>123494.82</v>
      </c>
      <c r="K19" s="111"/>
      <c r="L19" s="112">
        <v>124627.93</v>
      </c>
      <c r="M19" s="111"/>
      <c r="N19" s="112">
        <v>124611.59</v>
      </c>
      <c r="O19" s="111"/>
      <c r="P19" s="112">
        <v>1109214.1000000001</v>
      </c>
      <c r="Q19" s="113">
        <f t="shared" si="0"/>
        <v>0.50040205792737957</v>
      </c>
      <c r="R19" s="114"/>
      <c r="S19" s="115"/>
      <c r="T19" s="105"/>
    </row>
    <row r="20" spans="1:20" outlineLevel="1">
      <c r="A20" s="105"/>
      <c r="B20" s="106" t="s">
        <v>308</v>
      </c>
      <c r="C20" s="105"/>
      <c r="D20" s="107">
        <v>32001</v>
      </c>
      <c r="E20" s="107" t="s">
        <v>312</v>
      </c>
      <c r="F20" s="108"/>
      <c r="G20" s="109"/>
      <c r="H20" s="110"/>
      <c r="I20" s="111"/>
      <c r="J20" s="112">
        <v>4454.4399999999996</v>
      </c>
      <c r="K20" s="111"/>
      <c r="L20" s="112">
        <v>2827.57</v>
      </c>
      <c r="M20" s="111"/>
      <c r="N20" s="112">
        <v>3746.43</v>
      </c>
      <c r="O20" s="111"/>
      <c r="P20" s="112">
        <v>31414.79</v>
      </c>
      <c r="Q20" s="113">
        <f t="shared" si="0"/>
        <v>1.4172219380691664E-2</v>
      </c>
      <c r="R20" s="114"/>
      <c r="S20" s="115"/>
      <c r="T20" s="105"/>
    </row>
    <row r="21" spans="1:20" outlineLevel="1">
      <c r="A21" s="105"/>
      <c r="B21" s="106" t="s">
        <v>308</v>
      </c>
      <c r="C21" s="105"/>
      <c r="D21" s="107">
        <v>33000</v>
      </c>
      <c r="E21" s="107" t="s">
        <v>313</v>
      </c>
      <c r="F21" s="108"/>
      <c r="G21" s="109"/>
      <c r="H21" s="110"/>
      <c r="I21" s="111"/>
      <c r="J21" s="112">
        <v>104348.73</v>
      </c>
      <c r="K21" s="111"/>
      <c r="L21" s="112">
        <v>105091.25</v>
      </c>
      <c r="M21" s="111"/>
      <c r="N21" s="112">
        <v>105163.51</v>
      </c>
      <c r="O21" s="111"/>
      <c r="P21" s="112">
        <v>918020.83</v>
      </c>
      <c r="Q21" s="113">
        <f t="shared" si="0"/>
        <v>0.41414864141395336</v>
      </c>
      <c r="R21" s="114"/>
      <c r="S21" s="115"/>
      <c r="T21" s="105"/>
    </row>
    <row r="22" spans="1:20" outlineLevel="1">
      <c r="A22" s="105"/>
      <c r="B22" s="106" t="s">
        <v>308</v>
      </c>
      <c r="C22" s="105"/>
      <c r="D22" s="107">
        <v>33001</v>
      </c>
      <c r="E22" s="107" t="s">
        <v>529</v>
      </c>
      <c r="F22" s="108"/>
      <c r="G22" s="109"/>
      <c r="H22" s="110"/>
      <c r="I22" s="111"/>
      <c r="J22" s="112">
        <v>59.58</v>
      </c>
      <c r="K22" s="111"/>
      <c r="L22" s="112">
        <v>62.89</v>
      </c>
      <c r="M22" s="111"/>
      <c r="N22" s="112">
        <v>589.58000000000004</v>
      </c>
      <c r="O22" s="111"/>
      <c r="P22" s="112">
        <v>771.63</v>
      </c>
      <c r="Q22" s="113">
        <f t="shared" si="0"/>
        <v>3.4810704259755066E-4</v>
      </c>
      <c r="R22" s="114"/>
      <c r="S22" s="115"/>
      <c r="T22" s="105"/>
    </row>
    <row r="23" spans="1:20" outlineLevel="1">
      <c r="A23" s="105"/>
      <c r="B23" s="106" t="s">
        <v>308</v>
      </c>
      <c r="C23" s="105"/>
      <c r="D23" s="107">
        <v>33011</v>
      </c>
      <c r="E23" s="107" t="s">
        <v>314</v>
      </c>
      <c r="F23" s="108"/>
      <c r="G23" s="109"/>
      <c r="H23" s="110"/>
      <c r="I23" s="111"/>
      <c r="J23" s="112">
        <v>2018.6</v>
      </c>
      <c r="K23" s="111"/>
      <c r="L23" s="112">
        <v>2298.7800000000002</v>
      </c>
      <c r="M23" s="111"/>
      <c r="N23" s="112">
        <v>2177.56</v>
      </c>
      <c r="O23" s="111"/>
      <c r="P23" s="112">
        <v>18079.73</v>
      </c>
      <c r="Q23" s="113">
        <f t="shared" si="0"/>
        <v>8.1563461001544976E-3</v>
      </c>
      <c r="R23" s="114"/>
      <c r="S23" s="115"/>
      <c r="T23" s="105"/>
    </row>
    <row r="24" spans="1:20" s="65" customFormat="1" ht="4.5" customHeight="1" outlineLevel="1">
      <c r="A24" s="110"/>
      <c r="B24" s="138" t="s">
        <v>301</v>
      </c>
      <c r="C24" s="110"/>
      <c r="D24" s="110"/>
      <c r="E24" s="110"/>
      <c r="F24" s="110"/>
      <c r="G24" s="110"/>
      <c r="H24" s="110"/>
      <c r="I24" s="110"/>
      <c r="J24" s="139"/>
      <c r="K24" s="120"/>
      <c r="L24" s="139"/>
      <c r="M24" s="120"/>
      <c r="N24" s="139"/>
      <c r="O24" s="120"/>
      <c r="P24" s="139"/>
      <c r="Q24" s="137"/>
      <c r="R24" s="120"/>
      <c r="S24" s="120"/>
      <c r="T24" s="110"/>
    </row>
    <row r="25" spans="1:20" s="65" customFormat="1">
      <c r="A25" s="140" t="s">
        <v>306</v>
      </c>
      <c r="B25" s="140" t="s">
        <v>301</v>
      </c>
      <c r="C25" s="110"/>
      <c r="D25" s="110"/>
      <c r="E25" s="110"/>
      <c r="F25" s="110" t="s">
        <v>315</v>
      </c>
      <c r="G25" s="110"/>
      <c r="H25" s="110"/>
      <c r="I25" s="110"/>
      <c r="J25" s="141">
        <f>SUM(J15:J24)</f>
        <v>249980.14</v>
      </c>
      <c r="K25" s="142"/>
      <c r="L25" s="141">
        <f>SUM(L15:L24)</f>
        <v>255434.24000000002</v>
      </c>
      <c r="M25" s="142"/>
      <c r="N25" s="141">
        <f>SUM(N15:N24)</f>
        <v>252828.23999999996</v>
      </c>
      <c r="O25" s="142"/>
      <c r="P25" s="141">
        <f>SUM(P15:P24)</f>
        <v>2205965.9699999997</v>
      </c>
      <c r="Q25" s="113">
        <f>IF(P$57=0,0,P25/P$57)</f>
        <v>0.99518200418275227</v>
      </c>
      <c r="R25" s="120"/>
      <c r="S25" s="120"/>
      <c r="T25" s="110"/>
    </row>
    <row r="26" spans="1:20" s="65" customFormat="1" outlineLevel="1">
      <c r="A26" s="138" t="s">
        <v>301</v>
      </c>
      <c r="B26" s="138" t="s">
        <v>301</v>
      </c>
      <c r="C26" s="110"/>
      <c r="D26" s="110"/>
      <c r="E26" s="110"/>
      <c r="F26" s="110"/>
      <c r="G26" s="110"/>
      <c r="H26" s="110"/>
      <c r="I26" s="110"/>
      <c r="J26" s="142"/>
      <c r="K26" s="142"/>
      <c r="L26" s="142"/>
      <c r="M26" s="142"/>
      <c r="N26" s="142"/>
      <c r="O26" s="142"/>
      <c r="P26" s="142"/>
      <c r="Q26" s="137"/>
      <c r="R26" s="120"/>
      <c r="S26" s="120"/>
      <c r="T26" s="110"/>
    </row>
    <row r="27" spans="1:20" outlineLevel="1">
      <c r="A27" s="105"/>
      <c r="B27" s="106" t="s">
        <v>316</v>
      </c>
      <c r="C27" s="105"/>
      <c r="D27" s="107"/>
      <c r="E27" s="107"/>
      <c r="F27" s="108"/>
      <c r="G27" s="109"/>
      <c r="H27" s="110"/>
      <c r="I27" s="111"/>
      <c r="J27" s="112"/>
      <c r="K27" s="111"/>
      <c r="L27" s="112"/>
      <c r="M27" s="111"/>
      <c r="N27" s="112"/>
      <c r="O27" s="111"/>
      <c r="P27" s="112"/>
      <c r="Q27" s="113"/>
      <c r="R27" s="114"/>
      <c r="S27" s="115"/>
      <c r="T27" s="105"/>
    </row>
    <row r="28" spans="1:20" s="65" customFormat="1" ht="5.0999999999999996" customHeight="1" outlineLevel="1">
      <c r="A28" s="138" t="s">
        <v>301</v>
      </c>
      <c r="B28" s="138" t="s">
        <v>301</v>
      </c>
      <c r="C28" s="110"/>
      <c r="D28" s="108"/>
      <c r="E28" s="108"/>
      <c r="F28" s="108"/>
      <c r="G28" s="108"/>
      <c r="H28" s="110"/>
      <c r="I28" s="110"/>
      <c r="J28" s="143"/>
      <c r="K28" s="142"/>
      <c r="L28" s="143"/>
      <c r="M28" s="142"/>
      <c r="N28" s="143"/>
      <c r="O28" s="142"/>
      <c r="P28" s="143"/>
      <c r="Q28" s="137"/>
      <c r="R28" s="120"/>
      <c r="S28" s="120"/>
      <c r="T28" s="110"/>
    </row>
    <row r="29" spans="1:20" s="65" customFormat="1">
      <c r="A29" s="140" t="s">
        <v>316</v>
      </c>
      <c r="B29" s="140" t="s">
        <v>301</v>
      </c>
      <c r="C29" s="110"/>
      <c r="D29" s="110"/>
      <c r="E29" s="110"/>
      <c r="F29" s="108" t="s">
        <v>317</v>
      </c>
      <c r="G29" s="110"/>
      <c r="H29" s="110"/>
      <c r="I29" s="110"/>
      <c r="J29" s="141">
        <f>SUM(J27:J28)</f>
        <v>0</v>
      </c>
      <c r="K29" s="142"/>
      <c r="L29" s="141">
        <f>SUM(L27:L28)</f>
        <v>0</v>
      </c>
      <c r="M29" s="142"/>
      <c r="N29" s="141">
        <f>SUM(N27:N28)</f>
        <v>0</v>
      </c>
      <c r="O29" s="142"/>
      <c r="P29" s="141">
        <f>SUM(P27:P28)</f>
        <v>0</v>
      </c>
      <c r="Q29" s="113">
        <f>IF(P$57=0,0,P29/P$57)</f>
        <v>0</v>
      </c>
      <c r="R29" s="120"/>
      <c r="S29" s="120"/>
      <c r="T29" s="110"/>
    </row>
    <row r="30" spans="1:20" s="65" customFormat="1" outlineLevel="1">
      <c r="A30" s="138" t="s">
        <v>301</v>
      </c>
      <c r="B30" s="140"/>
      <c r="C30" s="110"/>
      <c r="D30" s="110"/>
      <c r="E30" s="110"/>
      <c r="F30" s="110"/>
      <c r="G30" s="110"/>
      <c r="H30" s="110"/>
      <c r="I30" s="110"/>
      <c r="J30" s="142"/>
      <c r="K30" s="142"/>
      <c r="L30" s="142"/>
      <c r="M30" s="142"/>
      <c r="N30" s="142"/>
      <c r="O30" s="142"/>
      <c r="P30" s="142"/>
      <c r="Q30" s="137"/>
      <c r="R30" s="120"/>
      <c r="S30" s="120"/>
      <c r="T30" s="110"/>
    </row>
    <row r="31" spans="1:20" s="65" customFormat="1" outlineLevel="1">
      <c r="A31" s="140" t="s">
        <v>301</v>
      </c>
      <c r="B31" s="140" t="s">
        <v>301</v>
      </c>
      <c r="C31" s="110"/>
      <c r="D31" s="110"/>
      <c r="E31" s="110"/>
      <c r="F31" s="110"/>
      <c r="G31" s="110"/>
      <c r="H31" s="110"/>
      <c r="I31" s="110"/>
      <c r="J31" s="142"/>
      <c r="K31" s="142"/>
      <c r="L31" s="142"/>
      <c r="M31" s="142"/>
      <c r="N31" s="142"/>
      <c r="O31" s="142"/>
      <c r="P31" s="142"/>
      <c r="Q31" s="137"/>
      <c r="R31" s="120"/>
      <c r="S31" s="120"/>
      <c r="T31" s="110"/>
    </row>
    <row r="32" spans="1:20" outlineLevel="1">
      <c r="A32" s="105"/>
      <c r="B32" s="106" t="s">
        <v>318</v>
      </c>
      <c r="C32" s="105"/>
      <c r="D32" s="107">
        <v>35510</v>
      </c>
      <c r="E32" s="107" t="s">
        <v>319</v>
      </c>
      <c r="F32" s="108"/>
      <c r="G32" s="109"/>
      <c r="H32" s="110"/>
      <c r="I32" s="111"/>
      <c r="J32" s="112">
        <v>0</v>
      </c>
      <c r="K32" s="111"/>
      <c r="L32" s="112">
        <v>0</v>
      </c>
      <c r="M32" s="111"/>
      <c r="N32" s="112">
        <v>0</v>
      </c>
      <c r="O32" s="111"/>
      <c r="P32" s="112">
        <v>0</v>
      </c>
      <c r="Q32" s="113">
        <f t="shared" ref="Q32:Q34" si="1">IF(P$57=0,0,P32/P$57)</f>
        <v>0</v>
      </c>
      <c r="R32" s="114"/>
      <c r="S32" s="115"/>
      <c r="T32" s="105"/>
    </row>
    <row r="33" spans="1:20" outlineLevel="1">
      <c r="A33" s="105"/>
      <c r="B33" s="106" t="s">
        <v>308</v>
      </c>
      <c r="C33" s="105"/>
      <c r="D33" s="107">
        <v>35514</v>
      </c>
      <c r="E33" s="107" t="s">
        <v>530</v>
      </c>
      <c r="F33" s="108"/>
      <c r="G33" s="109"/>
      <c r="H33" s="110"/>
      <c r="I33" s="111"/>
      <c r="J33" s="112">
        <v>0</v>
      </c>
      <c r="K33" s="111"/>
      <c r="L33" s="112">
        <v>0</v>
      </c>
      <c r="M33" s="111"/>
      <c r="N33" s="112">
        <v>0</v>
      </c>
      <c r="O33" s="111"/>
      <c r="P33" s="112">
        <v>200</v>
      </c>
      <c r="Q33" s="113">
        <f t="shared" si="1"/>
        <v>9.0226414887329597E-5</v>
      </c>
      <c r="R33" s="114"/>
      <c r="S33" s="115"/>
      <c r="T33" s="105"/>
    </row>
    <row r="34" spans="1:20" outlineLevel="1">
      <c r="A34" s="105"/>
      <c r="B34" s="106" t="s">
        <v>308</v>
      </c>
      <c r="C34" s="105"/>
      <c r="D34" s="107">
        <v>35518</v>
      </c>
      <c r="E34" s="107" t="s">
        <v>531</v>
      </c>
      <c r="F34" s="108"/>
      <c r="G34" s="109"/>
      <c r="H34" s="110"/>
      <c r="I34" s="111"/>
      <c r="J34" s="112">
        <v>1097.67</v>
      </c>
      <c r="K34" s="111"/>
      <c r="L34" s="112">
        <v>1015.18</v>
      </c>
      <c r="M34" s="111"/>
      <c r="N34" s="112">
        <v>0</v>
      </c>
      <c r="O34" s="111"/>
      <c r="P34" s="112">
        <v>5389.42</v>
      </c>
      <c r="Q34" s="113">
        <f t="shared" si="1"/>
        <v>2.4313402246103591E-3</v>
      </c>
      <c r="R34" s="114"/>
      <c r="S34" s="115"/>
      <c r="T34" s="105"/>
    </row>
    <row r="35" spans="1:20" s="65" customFormat="1" ht="5.0999999999999996" customHeight="1" outlineLevel="1">
      <c r="A35" s="140" t="s">
        <v>301</v>
      </c>
      <c r="B35" s="138" t="s">
        <v>301</v>
      </c>
      <c r="C35" s="110"/>
      <c r="D35" s="108"/>
      <c r="E35" s="108"/>
      <c r="F35" s="108"/>
      <c r="G35" s="108"/>
      <c r="H35" s="110"/>
      <c r="I35" s="110"/>
      <c r="J35" s="143"/>
      <c r="K35" s="142"/>
      <c r="L35" s="143"/>
      <c r="M35" s="142"/>
      <c r="N35" s="143"/>
      <c r="O35" s="142"/>
      <c r="P35" s="143"/>
      <c r="Q35" s="137"/>
      <c r="R35" s="120"/>
      <c r="S35" s="120"/>
      <c r="T35" s="110"/>
    </row>
    <row r="36" spans="1:20" s="65" customFormat="1">
      <c r="A36" s="140" t="s">
        <v>318</v>
      </c>
      <c r="B36" s="140" t="s">
        <v>301</v>
      </c>
      <c r="C36" s="110"/>
      <c r="D36" s="110"/>
      <c r="E36" s="110"/>
      <c r="F36" s="108" t="s">
        <v>320</v>
      </c>
      <c r="G36" s="110"/>
      <c r="H36" s="110"/>
      <c r="I36" s="110"/>
      <c r="J36" s="141">
        <f>SUM(J31:J35)</f>
        <v>1097.67</v>
      </c>
      <c r="K36" s="142"/>
      <c r="L36" s="141">
        <f>SUM(L31:L35)</f>
        <v>1015.18</v>
      </c>
      <c r="M36" s="142"/>
      <c r="N36" s="141">
        <f>SUM(N31:N35)</f>
        <v>0</v>
      </c>
      <c r="O36" s="142"/>
      <c r="P36" s="141">
        <f>SUM(P31:P35)</f>
        <v>5589.42</v>
      </c>
      <c r="Q36" s="113">
        <f>IF(P$57=0,0,P36/P$57)</f>
        <v>2.521566639497689E-3</v>
      </c>
      <c r="R36" s="120"/>
      <c r="S36" s="120"/>
      <c r="T36" s="110"/>
    </row>
    <row r="37" spans="1:20" s="65" customFormat="1" outlineLevel="1">
      <c r="A37" s="138" t="s">
        <v>301</v>
      </c>
      <c r="B37" s="140"/>
      <c r="C37" s="110"/>
      <c r="D37" s="108"/>
      <c r="E37" s="108"/>
      <c r="F37" s="108"/>
      <c r="G37" s="108"/>
      <c r="H37" s="110"/>
      <c r="I37" s="110"/>
      <c r="J37" s="142"/>
      <c r="K37" s="142"/>
      <c r="L37" s="142"/>
      <c r="M37" s="142"/>
      <c r="N37" s="142"/>
      <c r="O37" s="142"/>
      <c r="P37" s="142"/>
      <c r="Q37" s="137"/>
      <c r="R37" s="120"/>
      <c r="S37" s="120"/>
      <c r="T37" s="110"/>
    </row>
    <row r="38" spans="1:20" s="65" customFormat="1" outlineLevel="1">
      <c r="A38" s="140" t="s">
        <v>301</v>
      </c>
      <c r="B38" s="140" t="s">
        <v>301</v>
      </c>
      <c r="C38" s="110"/>
      <c r="D38" s="110"/>
      <c r="E38" s="110"/>
      <c r="F38" s="110"/>
      <c r="G38" s="110"/>
      <c r="H38" s="110"/>
      <c r="I38" s="110"/>
      <c r="J38" s="142"/>
      <c r="K38" s="142"/>
      <c r="L38" s="142"/>
      <c r="M38" s="142"/>
      <c r="N38" s="142"/>
      <c r="O38" s="142"/>
      <c r="P38" s="142"/>
      <c r="Q38" s="137"/>
      <c r="R38" s="120"/>
      <c r="S38" s="120"/>
      <c r="T38" s="110"/>
    </row>
    <row r="39" spans="1:20" outlineLevel="1">
      <c r="A39" s="105"/>
      <c r="B39" s="106" t="s">
        <v>321</v>
      </c>
      <c r="C39" s="105"/>
      <c r="D39" s="107"/>
      <c r="E39" s="107"/>
      <c r="F39" s="108"/>
      <c r="G39" s="109"/>
      <c r="H39" s="110"/>
      <c r="I39" s="111"/>
      <c r="J39" s="112"/>
      <c r="K39" s="111"/>
      <c r="L39" s="112"/>
      <c r="M39" s="111"/>
      <c r="N39" s="112"/>
      <c r="O39" s="111"/>
      <c r="P39" s="112"/>
      <c r="Q39" s="113"/>
      <c r="R39" s="114"/>
      <c r="S39" s="115"/>
      <c r="T39" s="105"/>
    </row>
    <row r="40" spans="1:20" s="65" customFormat="1" ht="3.75" customHeight="1" outlineLevel="1">
      <c r="A40" s="140" t="s">
        <v>301</v>
      </c>
      <c r="B40" s="138" t="s">
        <v>301</v>
      </c>
      <c r="C40" s="110"/>
      <c r="D40" s="108"/>
      <c r="E40" s="108"/>
      <c r="F40" s="108"/>
      <c r="G40" s="108"/>
      <c r="H40" s="110"/>
      <c r="I40" s="110"/>
      <c r="J40" s="143"/>
      <c r="K40" s="142"/>
      <c r="L40" s="143"/>
      <c r="M40" s="142"/>
      <c r="N40" s="143"/>
      <c r="O40" s="142"/>
      <c r="P40" s="143"/>
      <c r="Q40" s="137"/>
      <c r="R40" s="120"/>
      <c r="S40" s="120"/>
      <c r="T40" s="110"/>
    </row>
    <row r="41" spans="1:20" s="65" customFormat="1">
      <c r="A41" s="140" t="s">
        <v>321</v>
      </c>
      <c r="B41" s="140" t="s">
        <v>301</v>
      </c>
      <c r="C41" s="110"/>
      <c r="D41" s="110"/>
      <c r="E41" s="110"/>
      <c r="F41" s="108" t="s">
        <v>322</v>
      </c>
      <c r="G41" s="110"/>
      <c r="H41" s="110"/>
      <c r="I41" s="110"/>
      <c r="J41" s="141">
        <f>SUM(J38:J40)</f>
        <v>0</v>
      </c>
      <c r="K41" s="142"/>
      <c r="L41" s="141">
        <f>SUM(L38:L40)</f>
        <v>0</v>
      </c>
      <c r="M41" s="142"/>
      <c r="N41" s="141">
        <f>SUM(N38:N40)</f>
        <v>0</v>
      </c>
      <c r="O41" s="142"/>
      <c r="P41" s="141">
        <f>SUM(P38:P40)</f>
        <v>0</v>
      </c>
      <c r="Q41" s="113">
        <f>IF(P$57=0,0,P41/P$57)</f>
        <v>0</v>
      </c>
      <c r="R41" s="120"/>
      <c r="S41" s="120"/>
      <c r="T41" s="110"/>
    </row>
    <row r="42" spans="1:20" s="65" customFormat="1" outlineLevel="1">
      <c r="A42" s="138" t="s">
        <v>301</v>
      </c>
      <c r="B42" s="138" t="s">
        <v>301</v>
      </c>
      <c r="C42" s="110"/>
      <c r="D42" s="110"/>
      <c r="E42" s="110"/>
      <c r="F42" s="110"/>
      <c r="G42" s="110"/>
      <c r="H42" s="110"/>
      <c r="I42" s="110"/>
      <c r="J42" s="142"/>
      <c r="K42" s="142"/>
      <c r="L42" s="142"/>
      <c r="M42" s="142"/>
      <c r="N42" s="142"/>
      <c r="O42" s="142"/>
      <c r="P42" s="142"/>
      <c r="Q42" s="137"/>
      <c r="R42" s="120"/>
      <c r="S42" s="120"/>
      <c r="T42" s="110"/>
    </row>
    <row r="43" spans="1:20" outlineLevel="1">
      <c r="A43" s="105"/>
      <c r="B43" s="106" t="s">
        <v>323</v>
      </c>
      <c r="C43" s="105"/>
      <c r="D43" s="107"/>
      <c r="E43" s="107"/>
      <c r="F43" s="108"/>
      <c r="G43" s="109"/>
      <c r="H43" s="110"/>
      <c r="I43" s="111"/>
      <c r="J43" s="112"/>
      <c r="K43" s="111"/>
      <c r="L43" s="112"/>
      <c r="M43" s="111"/>
      <c r="N43" s="112"/>
      <c r="O43" s="111"/>
      <c r="P43" s="112"/>
      <c r="Q43" s="113"/>
      <c r="R43" s="114"/>
      <c r="S43" s="115"/>
      <c r="T43" s="105"/>
    </row>
    <row r="44" spans="1:20" s="65" customFormat="1" ht="3.75" customHeight="1" outlineLevel="1">
      <c r="A44" s="138" t="s">
        <v>301</v>
      </c>
      <c r="B44" s="138" t="s">
        <v>301</v>
      </c>
      <c r="C44" s="110"/>
      <c r="D44" s="108"/>
      <c r="E44" s="108"/>
      <c r="F44" s="108"/>
      <c r="G44" s="108"/>
      <c r="H44" s="110"/>
      <c r="I44" s="110"/>
      <c r="J44" s="143"/>
      <c r="K44" s="142"/>
      <c r="L44" s="143"/>
      <c r="M44" s="142"/>
      <c r="N44" s="143"/>
      <c r="O44" s="142"/>
      <c r="P44" s="143"/>
      <c r="Q44" s="137"/>
      <c r="R44" s="120"/>
      <c r="S44" s="120"/>
      <c r="T44" s="110"/>
    </row>
    <row r="45" spans="1:20" s="65" customFormat="1">
      <c r="A45" s="140" t="s">
        <v>323</v>
      </c>
      <c r="B45" s="138"/>
      <c r="C45" s="110"/>
      <c r="D45" s="110"/>
      <c r="E45" s="110"/>
      <c r="F45" s="108" t="s">
        <v>324</v>
      </c>
      <c r="G45" s="110"/>
      <c r="H45" s="110"/>
      <c r="I45" s="110"/>
      <c r="J45" s="141">
        <f>SUM(J43:J44)</f>
        <v>0</v>
      </c>
      <c r="K45" s="142"/>
      <c r="L45" s="141">
        <f>SUM(L43:L44)</f>
        <v>0</v>
      </c>
      <c r="M45" s="142"/>
      <c r="N45" s="141">
        <f>SUM(N43:N44)</f>
        <v>0</v>
      </c>
      <c r="O45" s="142"/>
      <c r="P45" s="141">
        <f>SUM(P43:P44)</f>
        <v>0</v>
      </c>
      <c r="Q45" s="113">
        <f>IF(P$57=0,0,P45/P$57)</f>
        <v>0</v>
      </c>
      <c r="R45" s="120"/>
      <c r="S45" s="120"/>
      <c r="T45" s="110"/>
    </row>
    <row r="46" spans="1:20" s="65" customFormat="1" outlineLevel="1">
      <c r="A46" s="138" t="s">
        <v>301</v>
      </c>
      <c r="B46" s="138" t="s">
        <v>301</v>
      </c>
      <c r="C46" s="110"/>
      <c r="D46" s="110"/>
      <c r="E46" s="110"/>
      <c r="F46" s="110"/>
      <c r="G46" s="110"/>
      <c r="H46" s="110"/>
      <c r="I46" s="110"/>
      <c r="J46" s="142"/>
      <c r="K46" s="142"/>
      <c r="L46" s="142"/>
      <c r="M46" s="142"/>
      <c r="N46" s="142"/>
      <c r="O46" s="142"/>
      <c r="P46" s="142"/>
      <c r="Q46" s="137"/>
      <c r="R46" s="120"/>
      <c r="S46" s="120"/>
      <c r="T46" s="110"/>
    </row>
    <row r="47" spans="1:20" outlineLevel="1">
      <c r="A47" s="105"/>
      <c r="B47" s="106" t="s">
        <v>532</v>
      </c>
      <c r="C47" s="105"/>
      <c r="D47" s="107"/>
      <c r="E47" s="107"/>
      <c r="F47" s="108"/>
      <c r="G47" s="109"/>
      <c r="H47" s="110"/>
      <c r="I47" s="111"/>
      <c r="J47" s="112"/>
      <c r="K47" s="111"/>
      <c r="L47" s="112"/>
      <c r="M47" s="111"/>
      <c r="N47" s="112"/>
      <c r="O47" s="111"/>
      <c r="P47" s="112"/>
      <c r="Q47" s="113"/>
      <c r="R47" s="114"/>
      <c r="S47" s="115"/>
      <c r="T47" s="105"/>
    </row>
    <row r="48" spans="1:20" s="65" customFormat="1" ht="3.75" customHeight="1" outlineLevel="1">
      <c r="A48" s="138" t="s">
        <v>301</v>
      </c>
      <c r="B48" s="138" t="s">
        <v>301</v>
      </c>
      <c r="C48" s="110"/>
      <c r="D48" s="108"/>
      <c r="E48" s="108"/>
      <c r="F48" s="108"/>
      <c r="G48" s="108"/>
      <c r="H48" s="110"/>
      <c r="I48" s="110"/>
      <c r="J48" s="143"/>
      <c r="K48" s="142"/>
      <c r="L48" s="143"/>
      <c r="M48" s="142"/>
      <c r="N48" s="143"/>
      <c r="O48" s="142"/>
      <c r="P48" s="143"/>
      <c r="Q48" s="137"/>
      <c r="R48" s="120"/>
      <c r="S48" s="120"/>
      <c r="T48" s="110"/>
    </row>
    <row r="49" spans="1:20" s="65" customFormat="1">
      <c r="A49" s="140" t="s">
        <v>532</v>
      </c>
      <c r="B49" s="138"/>
      <c r="C49" s="110"/>
      <c r="D49" s="110"/>
      <c r="E49" s="110"/>
      <c r="F49" s="108" t="s">
        <v>533</v>
      </c>
      <c r="G49" s="110"/>
      <c r="H49" s="110"/>
      <c r="I49" s="110"/>
      <c r="J49" s="141">
        <f>SUM(J47:J48)</f>
        <v>0</v>
      </c>
      <c r="K49" s="142"/>
      <c r="L49" s="141">
        <f>SUM(L47:L48)</f>
        <v>0</v>
      </c>
      <c r="M49" s="142"/>
      <c r="N49" s="141">
        <f>SUM(N47:N48)</f>
        <v>0</v>
      </c>
      <c r="O49" s="142"/>
      <c r="P49" s="141">
        <f>SUM(P47:P48)</f>
        <v>0</v>
      </c>
      <c r="Q49" s="113">
        <f>IF(P$57=0,0,P49/P$57)</f>
        <v>0</v>
      </c>
      <c r="R49" s="120"/>
      <c r="S49" s="120"/>
      <c r="T49" s="110"/>
    </row>
    <row r="50" spans="1:20" s="65" customFormat="1" outlineLevel="1">
      <c r="A50" s="138" t="s">
        <v>301</v>
      </c>
      <c r="B50" s="138"/>
      <c r="C50" s="110"/>
      <c r="D50" s="110"/>
      <c r="E50" s="110"/>
      <c r="F50" s="110"/>
      <c r="G50" s="110"/>
      <c r="H50" s="110"/>
      <c r="I50" s="110"/>
      <c r="J50" s="142"/>
      <c r="K50" s="142"/>
      <c r="L50" s="142"/>
      <c r="M50" s="142"/>
      <c r="N50" s="142"/>
      <c r="O50" s="142"/>
      <c r="P50" s="142"/>
      <c r="Q50" s="137"/>
      <c r="R50" s="120"/>
      <c r="S50" s="120"/>
      <c r="T50" s="110"/>
    </row>
    <row r="51" spans="1:20" s="65" customFormat="1" outlineLevel="1">
      <c r="A51" s="138"/>
      <c r="B51" s="138" t="s">
        <v>301</v>
      </c>
      <c r="C51" s="110"/>
      <c r="D51" s="110"/>
      <c r="E51" s="110"/>
      <c r="F51" s="110"/>
      <c r="G51" s="110"/>
      <c r="H51" s="110"/>
      <c r="I51" s="110"/>
      <c r="J51" s="142"/>
      <c r="K51" s="142"/>
      <c r="L51" s="142"/>
      <c r="M51" s="142"/>
      <c r="N51" s="142"/>
      <c r="O51" s="142"/>
      <c r="P51" s="142"/>
      <c r="Q51" s="137"/>
      <c r="R51" s="120"/>
      <c r="S51" s="120"/>
      <c r="T51" s="110"/>
    </row>
    <row r="52" spans="1:20" outlineLevel="1">
      <c r="A52" s="105"/>
      <c r="B52" s="106" t="s">
        <v>325</v>
      </c>
      <c r="C52" s="105"/>
      <c r="D52" s="107">
        <v>38000</v>
      </c>
      <c r="E52" s="107" t="s">
        <v>326</v>
      </c>
      <c r="F52" s="108"/>
      <c r="G52" s="109"/>
      <c r="H52" s="110"/>
      <c r="I52" s="111"/>
      <c r="J52" s="112">
        <v>295.42</v>
      </c>
      <c r="K52" s="111"/>
      <c r="L52" s="112">
        <v>413.98</v>
      </c>
      <c r="M52" s="111"/>
      <c r="N52" s="112">
        <v>430.34</v>
      </c>
      <c r="O52" s="111"/>
      <c r="P52" s="112">
        <v>3065.46</v>
      </c>
      <c r="Q52" s="113">
        <f t="shared" ref="Q52:Q53" si="2">IF(P$57=0,0,P52/P$57)</f>
        <v>1.3829273289025668E-3</v>
      </c>
      <c r="R52" s="114"/>
      <c r="S52" s="115"/>
      <c r="T52" s="105"/>
    </row>
    <row r="53" spans="1:20" outlineLevel="1">
      <c r="A53" s="105"/>
      <c r="B53" s="106" t="s">
        <v>308</v>
      </c>
      <c r="C53" s="105"/>
      <c r="D53" s="107">
        <v>38001</v>
      </c>
      <c r="E53" s="107" t="s">
        <v>534</v>
      </c>
      <c r="F53" s="108"/>
      <c r="G53" s="109"/>
      <c r="H53" s="110"/>
      <c r="I53" s="111"/>
      <c r="J53" s="112">
        <v>183.54</v>
      </c>
      <c r="K53" s="111"/>
      <c r="L53" s="112">
        <v>162.68</v>
      </c>
      <c r="M53" s="111"/>
      <c r="N53" s="112">
        <v>138.07</v>
      </c>
      <c r="O53" s="111"/>
      <c r="P53" s="112">
        <v>2024.91</v>
      </c>
      <c r="Q53" s="113">
        <f t="shared" si="2"/>
        <v>9.1350184884751284E-4</v>
      </c>
      <c r="R53" s="114"/>
      <c r="S53" s="115"/>
      <c r="T53" s="105"/>
    </row>
    <row r="54" spans="1:20" s="65" customFormat="1" ht="4.5" customHeight="1" outlineLevel="1">
      <c r="A54" s="138" t="s">
        <v>301</v>
      </c>
      <c r="B54" s="138" t="s">
        <v>301</v>
      </c>
      <c r="C54" s="110"/>
      <c r="D54" s="144"/>
      <c r="E54" s="110"/>
      <c r="F54" s="110"/>
      <c r="G54" s="110"/>
      <c r="H54" s="110"/>
      <c r="I54" s="110"/>
      <c r="J54" s="143"/>
      <c r="K54" s="142"/>
      <c r="L54" s="143"/>
      <c r="M54" s="142"/>
      <c r="N54" s="143"/>
      <c r="O54" s="142"/>
      <c r="P54" s="143"/>
      <c r="Q54" s="137"/>
      <c r="R54" s="120"/>
      <c r="S54" s="120"/>
      <c r="T54" s="110"/>
    </row>
    <row r="55" spans="1:20" s="65" customFormat="1">
      <c r="A55" s="140" t="s">
        <v>325</v>
      </c>
      <c r="B55" s="138" t="s">
        <v>301</v>
      </c>
      <c r="C55" s="110"/>
      <c r="D55" s="110"/>
      <c r="E55" s="110"/>
      <c r="F55" s="110" t="s">
        <v>326</v>
      </c>
      <c r="G55" s="110"/>
      <c r="H55" s="110"/>
      <c r="I55" s="110"/>
      <c r="J55" s="141">
        <f>SUM(J51:J54)</f>
        <v>478.96000000000004</v>
      </c>
      <c r="K55" s="142"/>
      <c r="L55" s="141">
        <f>SUM(L51:L54)</f>
        <v>576.66000000000008</v>
      </c>
      <c r="M55" s="142"/>
      <c r="N55" s="141">
        <f>SUM(N51:N54)</f>
        <v>568.41</v>
      </c>
      <c r="O55" s="142"/>
      <c r="P55" s="141">
        <f>SUM(P51:P54)</f>
        <v>5090.37</v>
      </c>
      <c r="Q55" s="113">
        <f>IF(P$57=0,0,P55/P$57)</f>
        <v>2.2964291777500799E-3</v>
      </c>
      <c r="R55" s="120"/>
      <c r="S55" s="120"/>
      <c r="T55" s="110"/>
    </row>
    <row r="56" spans="1:20" s="65" customFormat="1" ht="7.5" customHeight="1">
      <c r="A56" s="138" t="s">
        <v>301</v>
      </c>
      <c r="B56" s="138" t="s">
        <v>301</v>
      </c>
      <c r="C56" s="110"/>
      <c r="D56" s="110"/>
      <c r="E56" s="110"/>
      <c r="F56" s="110"/>
      <c r="G56" s="110"/>
      <c r="H56" s="110"/>
      <c r="I56" s="110"/>
      <c r="J56" s="142"/>
      <c r="K56" s="142"/>
      <c r="L56" s="142"/>
      <c r="M56" s="142"/>
      <c r="N56" s="142"/>
      <c r="O56" s="142"/>
      <c r="P56" s="142"/>
      <c r="Q56" s="137"/>
      <c r="R56" s="120"/>
      <c r="S56" s="120"/>
      <c r="T56" s="110"/>
    </row>
    <row r="57" spans="1:20" s="65" customFormat="1">
      <c r="A57" s="138" t="s">
        <v>301</v>
      </c>
      <c r="B57" s="138" t="s">
        <v>301</v>
      </c>
      <c r="C57" s="110"/>
      <c r="D57" s="110"/>
      <c r="E57" s="145" t="s">
        <v>4</v>
      </c>
      <c r="F57" s="110"/>
      <c r="G57" s="110"/>
      <c r="H57" s="110"/>
      <c r="I57" s="110"/>
      <c r="J57" s="146">
        <f>+J29+J36+J41+J55+J25+J45+J49</f>
        <v>251556.77000000002</v>
      </c>
      <c r="K57" s="142"/>
      <c r="L57" s="146">
        <f>+L29+L36+L41+L55+L25+L45+L49</f>
        <v>257026.08000000002</v>
      </c>
      <c r="M57" s="142"/>
      <c r="N57" s="146">
        <f>+N29+N36+N41+N55+N25+N45+N49</f>
        <v>253396.64999999997</v>
      </c>
      <c r="O57" s="142"/>
      <c r="P57" s="146">
        <f>+P29+P36+P41+P55+P25+P45+P49</f>
        <v>2216645.7599999998</v>
      </c>
      <c r="Q57" s="113">
        <f>IF(P$57=0,0,P57/P$57)</f>
        <v>1</v>
      </c>
      <c r="R57" s="120"/>
      <c r="S57" s="120"/>
      <c r="T57" s="110"/>
    </row>
    <row r="58" spans="1:20" s="65" customFormat="1" ht="7.5" customHeight="1">
      <c r="A58" s="138" t="s">
        <v>301</v>
      </c>
      <c r="B58" s="138" t="s">
        <v>301</v>
      </c>
      <c r="C58" s="110"/>
      <c r="D58" s="110"/>
      <c r="E58" s="110"/>
      <c r="F58" s="110"/>
      <c r="G58" s="110"/>
      <c r="H58" s="110"/>
      <c r="I58" s="110"/>
      <c r="J58" s="142"/>
      <c r="K58" s="142"/>
      <c r="L58" s="142"/>
      <c r="M58" s="142"/>
      <c r="N58" s="142"/>
      <c r="O58" s="142"/>
      <c r="P58" s="142"/>
      <c r="Q58" s="137"/>
      <c r="R58" s="120"/>
      <c r="S58" s="120"/>
      <c r="T58" s="110"/>
    </row>
    <row r="59" spans="1:20" s="65" customFormat="1" outlineLevel="1">
      <c r="A59" s="138" t="s">
        <v>301</v>
      </c>
      <c r="B59" s="138"/>
      <c r="C59" s="110"/>
      <c r="D59" s="110"/>
      <c r="E59" s="110"/>
      <c r="F59" s="110"/>
      <c r="G59" s="110"/>
      <c r="H59" s="110"/>
      <c r="I59" s="110"/>
      <c r="J59" s="142"/>
      <c r="K59" s="142"/>
      <c r="L59" s="142"/>
      <c r="M59" s="142"/>
      <c r="N59" s="142"/>
      <c r="O59" s="142"/>
      <c r="P59" s="142"/>
      <c r="Q59" s="137"/>
      <c r="R59" s="120"/>
      <c r="S59" s="120"/>
      <c r="T59" s="110"/>
    </row>
    <row r="60" spans="1:20" outlineLevel="1">
      <c r="A60" s="105"/>
      <c r="B60" s="106" t="s">
        <v>327</v>
      </c>
      <c r="C60" s="105"/>
      <c r="D60" s="107">
        <v>40101</v>
      </c>
      <c r="E60" s="107" t="s">
        <v>328</v>
      </c>
      <c r="F60" s="108"/>
      <c r="G60" s="109"/>
      <c r="H60" s="110"/>
      <c r="I60" s="111"/>
      <c r="J60" s="112">
        <v>61236.28</v>
      </c>
      <c r="K60" s="111"/>
      <c r="L60" s="112">
        <v>57339.040000000001</v>
      </c>
      <c r="M60" s="111"/>
      <c r="N60" s="112">
        <v>61294.12</v>
      </c>
      <c r="O60" s="111"/>
      <c r="P60" s="112">
        <v>522217.13</v>
      </c>
      <c r="Q60" s="113">
        <f t="shared" ref="Q60:Q62" si="3">IF(P$57=0,0,P60/P$57)</f>
        <v>0.23558889716325268</v>
      </c>
      <c r="R60" s="114"/>
      <c r="S60" s="115"/>
      <c r="T60" s="105"/>
    </row>
    <row r="61" spans="1:20" outlineLevel="1">
      <c r="A61" s="105"/>
      <c r="B61" s="106" t="s">
        <v>308</v>
      </c>
      <c r="C61" s="105"/>
      <c r="D61" s="107">
        <v>40121</v>
      </c>
      <c r="E61" s="107" t="s">
        <v>329</v>
      </c>
      <c r="F61" s="108"/>
      <c r="G61" s="109"/>
      <c r="H61" s="110"/>
      <c r="I61" s="111"/>
      <c r="J61" s="112">
        <v>4164.62</v>
      </c>
      <c r="K61" s="111"/>
      <c r="L61" s="112">
        <v>4475.47</v>
      </c>
      <c r="M61" s="111"/>
      <c r="N61" s="112">
        <v>6080.94</v>
      </c>
      <c r="O61" s="111"/>
      <c r="P61" s="112">
        <v>43206.51</v>
      </c>
      <c r="Q61" s="113">
        <f t="shared" si="3"/>
        <v>1.9491842485467776E-2</v>
      </c>
      <c r="R61" s="114"/>
      <c r="S61" s="115"/>
      <c r="T61" s="105"/>
    </row>
    <row r="62" spans="1:20" outlineLevel="1">
      <c r="A62" s="105"/>
      <c r="B62" s="106" t="s">
        <v>308</v>
      </c>
      <c r="C62" s="105"/>
      <c r="D62" s="107">
        <v>40131</v>
      </c>
      <c r="E62" s="107" t="s">
        <v>535</v>
      </c>
      <c r="F62" s="108"/>
      <c r="G62" s="109"/>
      <c r="H62" s="110"/>
      <c r="I62" s="111"/>
      <c r="J62" s="112">
        <v>13032.41</v>
      </c>
      <c r="K62" s="111"/>
      <c r="L62" s="112">
        <v>10422.459999999999</v>
      </c>
      <c r="M62" s="111"/>
      <c r="N62" s="112">
        <v>13154.3</v>
      </c>
      <c r="O62" s="111"/>
      <c r="P62" s="112">
        <v>110578.48</v>
      </c>
      <c r="Q62" s="113">
        <f t="shared" si="3"/>
        <v>4.9885499070451388E-2</v>
      </c>
      <c r="R62" s="114"/>
      <c r="S62" s="115"/>
      <c r="T62" s="105"/>
    </row>
    <row r="63" spans="1:20" s="65" customFormat="1" ht="5.0999999999999996" customHeight="1" outlineLevel="1">
      <c r="A63" s="138"/>
      <c r="B63" s="138" t="s">
        <v>301</v>
      </c>
      <c r="C63" s="110"/>
      <c r="D63" s="108"/>
      <c r="E63" s="108"/>
      <c r="F63" s="108"/>
      <c r="G63" s="108"/>
      <c r="H63" s="110"/>
      <c r="I63" s="110"/>
      <c r="J63" s="143"/>
      <c r="K63" s="142"/>
      <c r="L63" s="143"/>
      <c r="M63" s="142"/>
      <c r="N63" s="143"/>
      <c r="O63" s="142"/>
      <c r="P63" s="143"/>
      <c r="Q63" s="137"/>
      <c r="R63" s="120"/>
      <c r="S63" s="120"/>
      <c r="T63" s="110"/>
    </row>
    <row r="64" spans="1:20" s="65" customFormat="1">
      <c r="A64" s="140" t="s">
        <v>327</v>
      </c>
      <c r="B64" s="138" t="s">
        <v>301</v>
      </c>
      <c r="C64" s="110"/>
      <c r="D64" s="110"/>
      <c r="E64" s="110"/>
      <c r="F64" s="108" t="s">
        <v>330</v>
      </c>
      <c r="G64" s="110"/>
      <c r="H64" s="110"/>
      <c r="I64" s="110"/>
      <c r="J64" s="141">
        <f>SUM(J59:J63)</f>
        <v>78433.31</v>
      </c>
      <c r="K64" s="142"/>
      <c r="L64" s="141">
        <f>SUM(L59:L63)</f>
        <v>72236.97</v>
      </c>
      <c r="M64" s="142"/>
      <c r="N64" s="141">
        <f>SUM(N59:N63)</f>
        <v>80529.36</v>
      </c>
      <c r="O64" s="142"/>
      <c r="P64" s="141">
        <f>SUM(P59:P63)</f>
        <v>676002.12</v>
      </c>
      <c r="Q64" s="113">
        <f>IF(P$57=0,0,P64/P$57)</f>
        <v>0.30496623871917183</v>
      </c>
      <c r="R64" s="120"/>
      <c r="S64" s="120"/>
      <c r="T64" s="110"/>
    </row>
    <row r="65" spans="1:20" s="65" customFormat="1" outlineLevel="1">
      <c r="A65" s="138" t="s">
        <v>301</v>
      </c>
      <c r="B65" s="138"/>
      <c r="C65" s="110"/>
      <c r="D65" s="110"/>
      <c r="E65" s="110"/>
      <c r="F65" s="110"/>
      <c r="G65" s="110"/>
      <c r="H65" s="110"/>
      <c r="I65" s="110"/>
      <c r="J65" s="142"/>
      <c r="K65" s="142"/>
      <c r="L65" s="142"/>
      <c r="M65" s="142"/>
      <c r="N65" s="142"/>
      <c r="O65" s="142"/>
      <c r="P65" s="142"/>
      <c r="Q65" s="137"/>
      <c r="R65" s="120"/>
      <c r="S65" s="120"/>
      <c r="T65" s="110"/>
    </row>
    <row r="66" spans="1:20" outlineLevel="1">
      <c r="A66" s="105"/>
      <c r="B66" s="106" t="s">
        <v>331</v>
      </c>
      <c r="C66" s="105"/>
      <c r="D66" s="107"/>
      <c r="E66" s="107"/>
      <c r="F66" s="108"/>
      <c r="G66" s="109"/>
      <c r="H66" s="110"/>
      <c r="I66" s="111"/>
      <c r="J66" s="112"/>
      <c r="K66" s="111"/>
      <c r="L66" s="112"/>
      <c r="M66" s="111"/>
      <c r="N66" s="112"/>
      <c r="O66" s="111"/>
      <c r="P66" s="112"/>
      <c r="Q66" s="113"/>
      <c r="R66" s="114"/>
      <c r="S66" s="115"/>
      <c r="T66" s="105"/>
    </row>
    <row r="67" spans="1:20" s="65" customFormat="1" ht="4.5" customHeight="1" outlineLevel="1">
      <c r="A67" s="138"/>
      <c r="B67" s="147" t="s">
        <v>301</v>
      </c>
      <c r="C67" s="110"/>
      <c r="D67" s="144"/>
      <c r="E67" s="110"/>
      <c r="F67" s="110"/>
      <c r="G67" s="110"/>
      <c r="H67" s="110"/>
      <c r="I67" s="110"/>
      <c r="J67" s="143"/>
      <c r="K67" s="142"/>
      <c r="L67" s="143"/>
      <c r="M67" s="142"/>
      <c r="N67" s="143"/>
      <c r="O67" s="142"/>
      <c r="P67" s="143"/>
      <c r="Q67" s="137"/>
      <c r="R67" s="120"/>
      <c r="S67" s="120"/>
      <c r="T67" s="110"/>
    </row>
    <row r="68" spans="1:20" s="65" customFormat="1">
      <c r="A68" s="140" t="s">
        <v>331</v>
      </c>
      <c r="B68" s="138" t="s">
        <v>301</v>
      </c>
      <c r="C68" s="110"/>
      <c r="D68" s="110"/>
      <c r="E68" s="110"/>
      <c r="F68" s="110" t="s">
        <v>332</v>
      </c>
      <c r="G68" s="110"/>
      <c r="H68" s="110"/>
      <c r="I68" s="110"/>
      <c r="J68" s="141">
        <f>SUM(J66:J67)</f>
        <v>0</v>
      </c>
      <c r="K68" s="142"/>
      <c r="L68" s="141">
        <f>SUM(L66:L67)</f>
        <v>0</v>
      </c>
      <c r="M68" s="142"/>
      <c r="N68" s="141">
        <f>SUM(N66:N67)</f>
        <v>0</v>
      </c>
      <c r="O68" s="142"/>
      <c r="P68" s="141">
        <f>SUM(P66:P67)</f>
        <v>0</v>
      </c>
      <c r="Q68" s="113">
        <f>IF(P$57=0,0,P68/P$57)</f>
        <v>0</v>
      </c>
      <c r="R68" s="120"/>
      <c r="S68" s="120"/>
      <c r="T68" s="110"/>
    </row>
    <row r="69" spans="1:20" s="65" customFormat="1" outlineLevel="1">
      <c r="A69" s="148" t="s">
        <v>301</v>
      </c>
      <c r="B69" s="138"/>
      <c r="C69" s="110"/>
      <c r="D69" s="110"/>
      <c r="E69" s="110"/>
      <c r="F69" s="110"/>
      <c r="G69" s="110"/>
      <c r="H69" s="110"/>
      <c r="I69" s="110"/>
      <c r="J69" s="142"/>
      <c r="K69" s="142"/>
      <c r="L69" s="142"/>
      <c r="M69" s="142"/>
      <c r="N69" s="142"/>
      <c r="O69" s="142"/>
      <c r="P69" s="142"/>
      <c r="Q69" s="137"/>
      <c r="R69" s="120"/>
      <c r="S69" s="120"/>
      <c r="T69" s="110"/>
    </row>
    <row r="70" spans="1:20" s="65" customFormat="1" outlineLevel="1">
      <c r="A70" s="138" t="s">
        <v>301</v>
      </c>
      <c r="B70" s="138" t="s">
        <v>301</v>
      </c>
      <c r="C70" s="110"/>
      <c r="D70" s="110"/>
      <c r="E70" s="110"/>
      <c r="F70" s="110"/>
      <c r="G70" s="110"/>
      <c r="H70" s="110"/>
      <c r="I70" s="110"/>
      <c r="J70" s="142"/>
      <c r="K70" s="142"/>
      <c r="L70" s="142"/>
      <c r="M70" s="142"/>
      <c r="N70" s="142"/>
      <c r="O70" s="142"/>
      <c r="P70" s="142"/>
      <c r="Q70" s="137"/>
      <c r="R70" s="120"/>
      <c r="S70" s="120"/>
      <c r="T70" s="110"/>
    </row>
    <row r="71" spans="1:20" outlineLevel="1">
      <c r="A71" s="105"/>
      <c r="B71" s="106" t="s">
        <v>333</v>
      </c>
      <c r="C71" s="105"/>
      <c r="D71" s="107">
        <v>41201</v>
      </c>
      <c r="E71" s="107" t="s">
        <v>334</v>
      </c>
      <c r="F71" s="108"/>
      <c r="G71" s="109"/>
      <c r="H71" s="110"/>
      <c r="I71" s="111"/>
      <c r="J71" s="112">
        <v>2492.6</v>
      </c>
      <c r="K71" s="111"/>
      <c r="L71" s="112">
        <v>2484.4699999999998</v>
      </c>
      <c r="M71" s="111"/>
      <c r="N71" s="112">
        <v>2482.0100000000002</v>
      </c>
      <c r="O71" s="111"/>
      <c r="P71" s="112">
        <v>22001.5</v>
      </c>
      <c r="Q71" s="113">
        <f t="shared" ref="Q71:Q73" si="4">IF(P$57=0,0,P71/P$57)</f>
        <v>9.9255823357179106E-3</v>
      </c>
      <c r="R71" s="114"/>
      <c r="S71" s="115"/>
      <c r="T71" s="105"/>
    </row>
    <row r="72" spans="1:20" outlineLevel="1">
      <c r="A72" s="105"/>
      <c r="B72" s="106" t="s">
        <v>308</v>
      </c>
      <c r="C72" s="105"/>
      <c r="D72" s="107">
        <v>43001</v>
      </c>
      <c r="E72" s="107" t="s">
        <v>335</v>
      </c>
      <c r="F72" s="108"/>
      <c r="G72" s="109"/>
      <c r="H72" s="110"/>
      <c r="I72" s="111"/>
      <c r="J72" s="112">
        <v>3924.9</v>
      </c>
      <c r="K72" s="111"/>
      <c r="L72" s="112">
        <v>3864.74</v>
      </c>
      <c r="M72" s="111"/>
      <c r="N72" s="112">
        <v>3715.26</v>
      </c>
      <c r="O72" s="111"/>
      <c r="P72" s="112">
        <v>33551.199999999997</v>
      </c>
      <c r="Q72" s="113">
        <f t="shared" si="4"/>
        <v>1.5136022455838862E-2</v>
      </c>
      <c r="R72" s="114"/>
      <c r="S72" s="115"/>
      <c r="T72" s="105"/>
    </row>
    <row r="73" spans="1:20" outlineLevel="1">
      <c r="A73" s="105"/>
      <c r="B73" s="106" t="s">
        <v>308</v>
      </c>
      <c r="C73" s="105"/>
      <c r="D73" s="107">
        <v>43002</v>
      </c>
      <c r="E73" s="107" t="s">
        <v>336</v>
      </c>
      <c r="F73" s="108"/>
      <c r="G73" s="109"/>
      <c r="H73" s="110"/>
      <c r="I73" s="111"/>
      <c r="J73" s="112">
        <v>1163</v>
      </c>
      <c r="K73" s="111"/>
      <c r="L73" s="112">
        <v>738</v>
      </c>
      <c r="M73" s="111"/>
      <c r="N73" s="112">
        <v>1153</v>
      </c>
      <c r="O73" s="111"/>
      <c r="P73" s="112">
        <v>8756.23</v>
      </c>
      <c r="Q73" s="113">
        <f t="shared" si="4"/>
        <v>3.95021620414441E-3</v>
      </c>
      <c r="R73" s="114"/>
      <c r="S73" s="115"/>
      <c r="T73" s="105"/>
    </row>
    <row r="74" spans="1:20" s="65" customFormat="1" ht="5.0999999999999996" customHeight="1" outlineLevel="1">
      <c r="A74" s="138" t="s">
        <v>301</v>
      </c>
      <c r="B74" s="140" t="s">
        <v>301</v>
      </c>
      <c r="C74" s="110"/>
      <c r="D74" s="108"/>
      <c r="E74" s="108"/>
      <c r="F74" s="108"/>
      <c r="G74" s="108"/>
      <c r="H74" s="110"/>
      <c r="I74" s="110"/>
      <c r="J74" s="143"/>
      <c r="K74" s="142"/>
      <c r="L74" s="143"/>
      <c r="M74" s="142"/>
      <c r="N74" s="143"/>
      <c r="O74" s="142"/>
      <c r="P74" s="143"/>
      <c r="Q74" s="137"/>
      <c r="R74" s="120"/>
      <c r="S74" s="120"/>
      <c r="T74" s="110"/>
    </row>
    <row r="75" spans="1:20" s="65" customFormat="1">
      <c r="A75" s="140" t="s">
        <v>333</v>
      </c>
      <c r="B75" s="138" t="s">
        <v>301</v>
      </c>
      <c r="C75" s="110"/>
      <c r="D75" s="110"/>
      <c r="E75" s="110"/>
      <c r="F75" s="108" t="s">
        <v>337</v>
      </c>
      <c r="G75" s="149"/>
      <c r="H75" s="149"/>
      <c r="I75" s="149"/>
      <c r="J75" s="141">
        <f>SUM(J70:J74)</f>
        <v>7580.5</v>
      </c>
      <c r="K75" s="142"/>
      <c r="L75" s="141">
        <f>SUM(L70:L74)</f>
        <v>7087.2099999999991</v>
      </c>
      <c r="M75" s="142"/>
      <c r="N75" s="141">
        <f>SUM(N70:N74)</f>
        <v>7350.27</v>
      </c>
      <c r="O75" s="142"/>
      <c r="P75" s="141">
        <f>SUM(P70:P74)</f>
        <v>64308.929999999993</v>
      </c>
      <c r="Q75" s="113">
        <f>IF(P$57=0,0,P75/P$57)</f>
        <v>2.9011820995701182E-2</v>
      </c>
      <c r="R75" s="120"/>
      <c r="S75" s="120"/>
      <c r="T75" s="110"/>
    </row>
    <row r="76" spans="1:20" s="65" customFormat="1" outlineLevel="1">
      <c r="A76" s="140" t="s">
        <v>301</v>
      </c>
      <c r="B76" s="138"/>
      <c r="C76" s="110"/>
      <c r="D76" s="110"/>
      <c r="E76" s="110"/>
      <c r="F76" s="110"/>
      <c r="G76" s="110"/>
      <c r="H76" s="110"/>
      <c r="I76" s="110"/>
      <c r="J76" s="142"/>
      <c r="K76" s="142"/>
      <c r="L76" s="142"/>
      <c r="M76" s="142"/>
      <c r="N76" s="142"/>
      <c r="O76" s="142"/>
      <c r="P76" s="142"/>
      <c r="Q76" s="137"/>
      <c r="R76" s="120"/>
      <c r="S76" s="120"/>
      <c r="T76" s="110"/>
    </row>
    <row r="77" spans="1:20" s="65" customFormat="1" outlineLevel="1">
      <c r="A77" s="138" t="s">
        <v>301</v>
      </c>
      <c r="B77" s="138" t="s">
        <v>301</v>
      </c>
      <c r="C77" s="110"/>
      <c r="D77" s="110"/>
      <c r="E77" s="110"/>
      <c r="F77" s="110"/>
      <c r="G77" s="110"/>
      <c r="H77" s="110"/>
      <c r="I77" s="110"/>
      <c r="J77" s="142"/>
      <c r="K77" s="142"/>
      <c r="L77" s="142"/>
      <c r="M77" s="142"/>
      <c r="N77" s="142"/>
      <c r="O77" s="142"/>
      <c r="P77" s="142"/>
      <c r="Q77" s="137"/>
      <c r="R77" s="120"/>
      <c r="S77" s="120"/>
      <c r="T77" s="110"/>
    </row>
    <row r="78" spans="1:20" outlineLevel="1">
      <c r="A78" s="105"/>
      <c r="B78" s="106" t="s">
        <v>338</v>
      </c>
      <c r="C78" s="105"/>
      <c r="D78" s="107">
        <v>44161</v>
      </c>
      <c r="E78" s="107" t="s">
        <v>501</v>
      </c>
      <c r="F78" s="108"/>
      <c r="G78" s="109"/>
      <c r="H78" s="110"/>
      <c r="I78" s="111"/>
      <c r="J78" s="112">
        <v>758.14</v>
      </c>
      <c r="K78" s="111"/>
      <c r="L78" s="112">
        <v>457.5</v>
      </c>
      <c r="M78" s="111"/>
      <c r="N78" s="112">
        <v>570.29999999999995</v>
      </c>
      <c r="O78" s="111"/>
      <c r="P78" s="112">
        <v>5984.14</v>
      </c>
      <c r="Q78" s="113">
        <f t="shared" ref="Q78:Q79" si="5">IF(P$57=0,0,P78/P$57)</f>
        <v>2.6996374919193225E-3</v>
      </c>
      <c r="R78" s="114"/>
      <c r="S78" s="115"/>
      <c r="T78" s="105"/>
    </row>
    <row r="79" spans="1:20" outlineLevel="1">
      <c r="A79" s="105"/>
      <c r="B79" s="106" t="s">
        <v>308</v>
      </c>
      <c r="C79" s="105"/>
      <c r="D79" s="107">
        <v>44168</v>
      </c>
      <c r="E79" s="107" t="s">
        <v>502</v>
      </c>
      <c r="F79" s="108"/>
      <c r="G79" s="109"/>
      <c r="H79" s="110"/>
      <c r="I79" s="111"/>
      <c r="J79" s="112">
        <v>0</v>
      </c>
      <c r="K79" s="111"/>
      <c r="L79" s="112">
        <v>27.13</v>
      </c>
      <c r="M79" s="111"/>
      <c r="N79" s="112">
        <v>0</v>
      </c>
      <c r="O79" s="111"/>
      <c r="P79" s="112">
        <v>267.55</v>
      </c>
      <c r="Q79" s="113">
        <f t="shared" si="5"/>
        <v>1.2070038651552517E-4</v>
      </c>
      <c r="R79" s="114"/>
      <c r="S79" s="115"/>
      <c r="T79" s="105"/>
    </row>
    <row r="80" spans="1:20" s="65" customFormat="1" ht="5.0999999999999996" customHeight="1" outlineLevel="1">
      <c r="A80" s="138" t="s">
        <v>301</v>
      </c>
      <c r="B80" s="140" t="s">
        <v>301</v>
      </c>
      <c r="C80" s="110"/>
      <c r="D80" s="108"/>
      <c r="E80" s="108"/>
      <c r="F80" s="108"/>
      <c r="G80" s="108"/>
      <c r="H80" s="110"/>
      <c r="I80" s="110"/>
      <c r="J80" s="143"/>
      <c r="K80" s="142"/>
      <c r="L80" s="143"/>
      <c r="M80" s="142"/>
      <c r="N80" s="143"/>
      <c r="O80" s="142"/>
      <c r="P80" s="143"/>
      <c r="Q80" s="137"/>
      <c r="R80" s="120"/>
      <c r="S80" s="120"/>
      <c r="T80" s="110"/>
    </row>
    <row r="81" spans="1:20" s="65" customFormat="1">
      <c r="A81" s="140" t="s">
        <v>338</v>
      </c>
      <c r="B81" s="140" t="s">
        <v>301</v>
      </c>
      <c r="C81" s="110"/>
      <c r="D81" s="110"/>
      <c r="E81" s="110"/>
      <c r="F81" s="108" t="s">
        <v>339</v>
      </c>
      <c r="G81" s="149"/>
      <c r="H81" s="149"/>
      <c r="I81" s="149"/>
      <c r="J81" s="141">
        <f>SUM(J77:J80)</f>
        <v>758.14</v>
      </c>
      <c r="K81" s="142"/>
      <c r="L81" s="141">
        <f>SUM(L77:L80)</f>
        <v>484.63</v>
      </c>
      <c r="M81" s="142"/>
      <c r="N81" s="141">
        <f>SUM(N77:N80)</f>
        <v>570.29999999999995</v>
      </c>
      <c r="O81" s="142"/>
      <c r="P81" s="141">
        <f>SUM(P77:P80)</f>
        <v>6251.6900000000005</v>
      </c>
      <c r="Q81" s="113">
        <f>IF(P$57=0,0,P81/P$57)</f>
        <v>2.8203378784348479E-3</v>
      </c>
      <c r="R81" s="120"/>
      <c r="S81" s="120"/>
      <c r="T81" s="110"/>
    </row>
    <row r="82" spans="1:20" s="65" customFormat="1" outlineLevel="1">
      <c r="A82" s="140" t="s">
        <v>301</v>
      </c>
      <c r="B82" s="138" t="s">
        <v>301</v>
      </c>
      <c r="C82" s="110"/>
      <c r="D82" s="110"/>
      <c r="E82" s="110"/>
      <c r="F82" s="110"/>
      <c r="G82" s="110"/>
      <c r="H82" s="110"/>
      <c r="I82" s="110"/>
      <c r="J82" s="142"/>
      <c r="K82" s="142"/>
      <c r="L82" s="142"/>
      <c r="M82" s="142"/>
      <c r="N82" s="142"/>
      <c r="O82" s="142"/>
      <c r="P82" s="142"/>
      <c r="Q82" s="137"/>
      <c r="R82" s="120"/>
      <c r="S82" s="120"/>
      <c r="T82" s="110"/>
    </row>
    <row r="83" spans="1:20" outlineLevel="1">
      <c r="A83" s="105"/>
      <c r="B83" s="106" t="s">
        <v>340</v>
      </c>
      <c r="C83" s="105"/>
      <c r="D83" s="107"/>
      <c r="E83" s="107"/>
      <c r="F83" s="108"/>
      <c r="G83" s="109"/>
      <c r="H83" s="110"/>
      <c r="I83" s="111"/>
      <c r="J83" s="112"/>
      <c r="K83" s="111"/>
      <c r="L83" s="112"/>
      <c r="M83" s="111"/>
      <c r="N83" s="112"/>
      <c r="O83" s="111"/>
      <c r="P83" s="112"/>
      <c r="Q83" s="113"/>
      <c r="R83" s="114"/>
      <c r="S83" s="115"/>
      <c r="T83" s="105"/>
    </row>
    <row r="84" spans="1:20" s="65" customFormat="1" ht="4.5" customHeight="1" outlineLevel="1">
      <c r="A84" s="138" t="s">
        <v>301</v>
      </c>
      <c r="B84" s="147" t="s">
        <v>301</v>
      </c>
      <c r="C84" s="110"/>
      <c r="D84" s="144"/>
      <c r="E84" s="110"/>
      <c r="F84" s="110"/>
      <c r="G84" s="110"/>
      <c r="H84" s="110"/>
      <c r="I84" s="110"/>
      <c r="J84" s="143"/>
      <c r="K84" s="142"/>
      <c r="L84" s="143"/>
      <c r="M84" s="142"/>
      <c r="N84" s="143"/>
      <c r="O84" s="142"/>
      <c r="P84" s="143"/>
      <c r="Q84" s="137"/>
      <c r="R84" s="120"/>
      <c r="S84" s="120"/>
      <c r="T84" s="110"/>
    </row>
    <row r="85" spans="1:20" s="65" customFormat="1">
      <c r="A85" s="140" t="s">
        <v>340</v>
      </c>
      <c r="B85" s="138" t="s">
        <v>301</v>
      </c>
      <c r="C85" s="110"/>
      <c r="D85" s="110"/>
      <c r="E85" s="110"/>
      <c r="F85" s="110" t="s">
        <v>341</v>
      </c>
      <c r="G85" s="110"/>
      <c r="H85" s="110"/>
      <c r="I85" s="110"/>
      <c r="J85" s="141">
        <f>SUM(J83:J84)</f>
        <v>0</v>
      </c>
      <c r="K85" s="142"/>
      <c r="L85" s="141">
        <f>SUM(L83:L84)</f>
        <v>0</v>
      </c>
      <c r="M85" s="142"/>
      <c r="N85" s="141">
        <f>SUM(N83:N84)</f>
        <v>0</v>
      </c>
      <c r="O85" s="142"/>
      <c r="P85" s="141">
        <f>SUM(P83:P84)</f>
        <v>0</v>
      </c>
      <c r="Q85" s="113">
        <f>IF(P$57=0,0,P85/P$57)</f>
        <v>0</v>
      </c>
      <c r="R85" s="120"/>
      <c r="S85" s="120"/>
      <c r="T85" s="110"/>
    </row>
    <row r="86" spans="1:20" s="65" customFormat="1" ht="7.5" customHeight="1">
      <c r="A86" s="148" t="s">
        <v>301</v>
      </c>
      <c r="B86" s="140" t="s">
        <v>301</v>
      </c>
      <c r="C86" s="110"/>
      <c r="D86" s="110"/>
      <c r="E86" s="110"/>
      <c r="F86" s="110"/>
      <c r="G86" s="110"/>
      <c r="H86" s="110"/>
      <c r="I86" s="110"/>
      <c r="J86" s="142"/>
      <c r="K86" s="142"/>
      <c r="L86" s="142"/>
      <c r="M86" s="142"/>
      <c r="N86" s="142"/>
      <c r="O86" s="142"/>
      <c r="P86" s="142"/>
      <c r="Q86" s="137"/>
      <c r="R86" s="120"/>
      <c r="S86" s="120"/>
      <c r="T86" s="110"/>
    </row>
    <row r="87" spans="1:20" s="65" customFormat="1">
      <c r="A87" s="138" t="s">
        <v>301</v>
      </c>
      <c r="B87" s="140" t="s">
        <v>301</v>
      </c>
      <c r="C87" s="110"/>
      <c r="D87" s="110"/>
      <c r="E87" s="145" t="s">
        <v>342</v>
      </c>
      <c r="F87" s="110"/>
      <c r="G87" s="110"/>
      <c r="H87" s="110"/>
      <c r="I87" s="110"/>
      <c r="J87" s="146">
        <f>+J64+J75+J81+J68+J85</f>
        <v>86771.95</v>
      </c>
      <c r="K87" s="142"/>
      <c r="L87" s="146">
        <f>+L64+L75+L81+L68+L85</f>
        <v>79808.81</v>
      </c>
      <c r="M87" s="142"/>
      <c r="N87" s="146">
        <f>+N64+N75+N81+N68+N85</f>
        <v>88449.930000000008</v>
      </c>
      <c r="O87" s="142"/>
      <c r="P87" s="146">
        <f>+P64+P75+P81+P68+P85</f>
        <v>746562.74</v>
      </c>
      <c r="Q87" s="113">
        <f>IF(P$57=0,0,P87/P$57)</f>
        <v>0.33679839759330787</v>
      </c>
      <c r="R87" s="120"/>
      <c r="S87" s="120"/>
      <c r="T87" s="110"/>
    </row>
    <row r="88" spans="1:20" s="65" customFormat="1" ht="7.5" customHeight="1">
      <c r="A88" s="140" t="s">
        <v>301</v>
      </c>
      <c r="B88" s="140" t="s">
        <v>301</v>
      </c>
      <c r="C88" s="110"/>
      <c r="D88" s="110"/>
      <c r="E88" s="110"/>
      <c r="F88" s="110"/>
      <c r="G88" s="110"/>
      <c r="H88" s="110"/>
      <c r="I88" s="110"/>
      <c r="J88" s="142"/>
      <c r="K88" s="142"/>
      <c r="L88" s="142"/>
      <c r="M88" s="142"/>
      <c r="N88" s="142"/>
      <c r="O88" s="142"/>
      <c r="P88" s="142"/>
      <c r="Q88" s="137"/>
      <c r="R88" s="120"/>
      <c r="S88" s="120"/>
      <c r="T88" s="110"/>
    </row>
    <row r="89" spans="1:20" s="65" customFormat="1">
      <c r="A89" s="140" t="s">
        <v>301</v>
      </c>
      <c r="B89" s="140" t="s">
        <v>301</v>
      </c>
      <c r="C89" s="110"/>
      <c r="D89" s="110"/>
      <c r="E89" s="150" t="s">
        <v>343</v>
      </c>
      <c r="F89" s="110"/>
      <c r="G89" s="110"/>
      <c r="H89" s="110"/>
      <c r="I89" s="110"/>
      <c r="J89" s="146">
        <f>J57-J87</f>
        <v>164784.82</v>
      </c>
      <c r="K89" s="142"/>
      <c r="L89" s="146">
        <f>L57-L87</f>
        <v>177217.27000000002</v>
      </c>
      <c r="M89" s="142"/>
      <c r="N89" s="146">
        <f>N57-N87</f>
        <v>164946.71999999997</v>
      </c>
      <c r="O89" s="142"/>
      <c r="P89" s="146">
        <f>P57-P87</f>
        <v>1470083.0199999998</v>
      </c>
      <c r="Q89" s="113">
        <f>IF(P$57=0,0,P89/P$57)</f>
        <v>0.66320160240669213</v>
      </c>
      <c r="R89" s="120"/>
      <c r="S89" s="120"/>
      <c r="T89" s="110"/>
    </row>
    <row r="90" spans="1:20" s="65" customFormat="1" ht="7.5" customHeight="1">
      <c r="A90" s="140" t="s">
        <v>301</v>
      </c>
      <c r="B90" s="140" t="s">
        <v>301</v>
      </c>
      <c r="C90" s="110"/>
      <c r="D90" s="110"/>
      <c r="E90" s="110"/>
      <c r="F90" s="110"/>
      <c r="G90" s="110"/>
      <c r="H90" s="110"/>
      <c r="I90" s="110"/>
      <c r="J90" s="142"/>
      <c r="K90" s="142"/>
      <c r="L90" s="142"/>
      <c r="M90" s="142"/>
      <c r="N90" s="142"/>
      <c r="O90" s="142"/>
      <c r="P90" s="142"/>
      <c r="Q90" s="137"/>
      <c r="R90" s="120"/>
      <c r="S90" s="120"/>
      <c r="T90" s="110"/>
    </row>
    <row r="91" spans="1:20" s="65" customFormat="1" outlineLevel="1">
      <c r="A91" s="140" t="s">
        <v>301</v>
      </c>
      <c r="B91" s="140"/>
      <c r="C91" s="110"/>
      <c r="D91" s="110"/>
      <c r="E91" s="110"/>
      <c r="F91" s="110"/>
      <c r="G91" s="110"/>
      <c r="H91" s="110"/>
      <c r="I91" s="110"/>
      <c r="J91" s="142"/>
      <c r="K91" s="142"/>
      <c r="L91" s="142"/>
      <c r="M91" s="142"/>
      <c r="N91" s="142"/>
      <c r="O91" s="142"/>
      <c r="P91" s="142"/>
      <c r="Q91" s="137"/>
      <c r="R91" s="120"/>
      <c r="S91" s="120"/>
      <c r="T91" s="110"/>
    </row>
    <row r="92" spans="1:20" outlineLevel="1">
      <c r="A92" s="105"/>
      <c r="B92" s="106" t="s">
        <v>344</v>
      </c>
      <c r="C92" s="105"/>
      <c r="D92" s="107">
        <v>50020</v>
      </c>
      <c r="E92" s="107" t="s">
        <v>345</v>
      </c>
      <c r="F92" s="108"/>
      <c r="G92" s="109"/>
      <c r="H92" s="110"/>
      <c r="I92" s="111"/>
      <c r="J92" s="112">
        <v>33996.080000000002</v>
      </c>
      <c r="K92" s="111"/>
      <c r="L92" s="112">
        <v>30597.41</v>
      </c>
      <c r="M92" s="111"/>
      <c r="N92" s="112">
        <v>32248.799999999999</v>
      </c>
      <c r="O92" s="111"/>
      <c r="P92" s="112">
        <v>272361.81</v>
      </c>
      <c r="Q92" s="113">
        <f t="shared" ref="Q92:Q102" si="6">IF(P$57=0,0,P92/P$57)</f>
        <v>0.12287114834262017</v>
      </c>
      <c r="R92" s="114"/>
      <c r="S92" s="115"/>
      <c r="T92" s="105"/>
    </row>
    <row r="93" spans="1:20" outlineLevel="1">
      <c r="A93" s="105"/>
      <c r="B93" s="106" t="s">
        <v>308</v>
      </c>
      <c r="C93" s="105"/>
      <c r="D93" s="107">
        <v>50025</v>
      </c>
      <c r="E93" s="107" t="s">
        <v>346</v>
      </c>
      <c r="F93" s="108"/>
      <c r="G93" s="109"/>
      <c r="H93" s="110"/>
      <c r="I93" s="111"/>
      <c r="J93" s="112">
        <v>2346.3000000000002</v>
      </c>
      <c r="K93" s="111"/>
      <c r="L93" s="112">
        <v>2902.21</v>
      </c>
      <c r="M93" s="111"/>
      <c r="N93" s="112">
        <v>1799.97</v>
      </c>
      <c r="O93" s="111"/>
      <c r="P93" s="112">
        <v>18785.48</v>
      </c>
      <c r="Q93" s="113">
        <f t="shared" si="6"/>
        <v>8.4747325616881617E-3</v>
      </c>
      <c r="R93" s="114"/>
      <c r="S93" s="115"/>
      <c r="T93" s="105"/>
    </row>
    <row r="94" spans="1:20" outlineLevel="1">
      <c r="A94" s="105"/>
      <c r="B94" s="106" t="s">
        <v>308</v>
      </c>
      <c r="C94" s="105"/>
      <c r="D94" s="107">
        <v>50035</v>
      </c>
      <c r="E94" s="107" t="s">
        <v>347</v>
      </c>
      <c r="F94" s="108"/>
      <c r="G94" s="109"/>
      <c r="H94" s="110"/>
      <c r="I94" s="111"/>
      <c r="J94" s="112">
        <v>1318</v>
      </c>
      <c r="K94" s="111"/>
      <c r="L94" s="112">
        <v>1383</v>
      </c>
      <c r="M94" s="111"/>
      <c r="N94" s="112">
        <v>1325</v>
      </c>
      <c r="O94" s="111"/>
      <c r="P94" s="112">
        <v>12414</v>
      </c>
      <c r="Q94" s="113">
        <f t="shared" si="6"/>
        <v>5.6003535720565477E-3</v>
      </c>
      <c r="R94" s="114"/>
      <c r="S94" s="115"/>
      <c r="T94" s="105"/>
    </row>
    <row r="95" spans="1:20" outlineLevel="1">
      <c r="A95" s="105"/>
      <c r="B95" s="106" t="s">
        <v>308</v>
      </c>
      <c r="C95" s="105"/>
      <c r="D95" s="107">
        <v>50050</v>
      </c>
      <c r="E95" s="107" t="s">
        <v>348</v>
      </c>
      <c r="F95" s="108"/>
      <c r="G95" s="109"/>
      <c r="H95" s="110"/>
      <c r="I95" s="111"/>
      <c r="J95" s="112">
        <v>3059.09</v>
      </c>
      <c r="K95" s="111"/>
      <c r="L95" s="112">
        <v>2890.85</v>
      </c>
      <c r="M95" s="111"/>
      <c r="N95" s="112">
        <v>2872.03</v>
      </c>
      <c r="O95" s="111"/>
      <c r="P95" s="112">
        <v>25023.42</v>
      </c>
      <c r="Q95" s="113">
        <f t="shared" si="6"/>
        <v>1.1288867374099504E-2</v>
      </c>
      <c r="R95" s="114"/>
      <c r="S95" s="115"/>
      <c r="T95" s="105"/>
    </row>
    <row r="96" spans="1:20" outlineLevel="1">
      <c r="A96" s="105"/>
      <c r="B96" s="106" t="s">
        <v>308</v>
      </c>
      <c r="C96" s="105"/>
      <c r="D96" s="107">
        <v>50060</v>
      </c>
      <c r="E96" s="107" t="s">
        <v>349</v>
      </c>
      <c r="F96" s="108"/>
      <c r="G96" s="109"/>
      <c r="H96" s="110"/>
      <c r="I96" s="111"/>
      <c r="J96" s="112">
        <v>6971.1</v>
      </c>
      <c r="K96" s="111"/>
      <c r="L96" s="112">
        <v>6971.1</v>
      </c>
      <c r="M96" s="111"/>
      <c r="N96" s="112">
        <v>6971.1</v>
      </c>
      <c r="O96" s="111"/>
      <c r="P96" s="112">
        <v>62233.1</v>
      </c>
      <c r="Q96" s="113">
        <f t="shared" si="6"/>
        <v>2.8075347501623354E-2</v>
      </c>
      <c r="R96" s="114"/>
      <c r="S96" s="115"/>
      <c r="T96" s="105"/>
    </row>
    <row r="97" spans="1:20" outlineLevel="1">
      <c r="A97" s="105"/>
      <c r="B97" s="106" t="s">
        <v>308</v>
      </c>
      <c r="C97" s="105"/>
      <c r="D97" s="107">
        <v>50065</v>
      </c>
      <c r="E97" s="107" t="s">
        <v>350</v>
      </c>
      <c r="F97" s="108"/>
      <c r="G97" s="109"/>
      <c r="H97" s="110"/>
      <c r="I97" s="111"/>
      <c r="J97" s="112">
        <v>1555.44</v>
      </c>
      <c r="K97" s="111"/>
      <c r="L97" s="112">
        <v>1533.87</v>
      </c>
      <c r="M97" s="111"/>
      <c r="N97" s="112">
        <v>1692.05</v>
      </c>
      <c r="O97" s="111"/>
      <c r="P97" s="112">
        <v>15776.34</v>
      </c>
      <c r="Q97" s="113">
        <f t="shared" si="6"/>
        <v>7.1172129912178668E-3</v>
      </c>
      <c r="R97" s="114"/>
      <c r="S97" s="115"/>
      <c r="T97" s="105"/>
    </row>
    <row r="98" spans="1:20" outlineLevel="1">
      <c r="A98" s="105"/>
      <c r="B98" s="106" t="s">
        <v>308</v>
      </c>
      <c r="C98" s="105"/>
      <c r="D98" s="107">
        <v>50070</v>
      </c>
      <c r="E98" s="107" t="s">
        <v>351</v>
      </c>
      <c r="F98" s="108"/>
      <c r="G98" s="109"/>
      <c r="H98" s="110"/>
      <c r="I98" s="111"/>
      <c r="J98" s="112">
        <v>195</v>
      </c>
      <c r="K98" s="111"/>
      <c r="L98" s="112">
        <v>0</v>
      </c>
      <c r="M98" s="111"/>
      <c r="N98" s="112">
        <v>487.5</v>
      </c>
      <c r="O98" s="111"/>
      <c r="P98" s="112">
        <v>3754.1</v>
      </c>
      <c r="Q98" s="113">
        <f t="shared" si="6"/>
        <v>1.6935949206426202E-3</v>
      </c>
      <c r="R98" s="114"/>
      <c r="S98" s="115"/>
      <c r="T98" s="105"/>
    </row>
    <row r="99" spans="1:20" outlineLevel="1">
      <c r="A99" s="105"/>
      <c r="B99" s="106" t="s">
        <v>308</v>
      </c>
      <c r="C99" s="105"/>
      <c r="D99" s="107">
        <v>50086</v>
      </c>
      <c r="E99" s="107" t="s">
        <v>352</v>
      </c>
      <c r="F99" s="108"/>
      <c r="G99" s="109"/>
      <c r="H99" s="110"/>
      <c r="I99" s="111"/>
      <c r="J99" s="112">
        <v>257.18</v>
      </c>
      <c r="K99" s="111"/>
      <c r="L99" s="112">
        <v>393.11</v>
      </c>
      <c r="M99" s="111"/>
      <c r="N99" s="112">
        <v>285.98</v>
      </c>
      <c r="O99" s="111"/>
      <c r="P99" s="112">
        <v>3194.03</v>
      </c>
      <c r="Q99" s="113">
        <f t="shared" si="6"/>
        <v>1.4409293797128869E-3</v>
      </c>
      <c r="R99" s="114"/>
      <c r="S99" s="115"/>
      <c r="T99" s="105"/>
    </row>
    <row r="100" spans="1:20" outlineLevel="1">
      <c r="A100" s="105"/>
      <c r="B100" s="106" t="s">
        <v>308</v>
      </c>
      <c r="C100" s="105"/>
      <c r="D100" s="107">
        <v>50090</v>
      </c>
      <c r="E100" s="107" t="s">
        <v>353</v>
      </c>
      <c r="F100" s="108"/>
      <c r="G100" s="109"/>
      <c r="H100" s="110"/>
      <c r="I100" s="111"/>
      <c r="J100" s="112">
        <v>0</v>
      </c>
      <c r="K100" s="111"/>
      <c r="L100" s="112">
        <v>269.72000000000003</v>
      </c>
      <c r="M100" s="111"/>
      <c r="N100" s="112">
        <v>638.62</v>
      </c>
      <c r="O100" s="111"/>
      <c r="P100" s="112">
        <v>1092.42</v>
      </c>
      <c r="Q100" s="113">
        <f t="shared" si="6"/>
        <v>4.9282570075608306E-4</v>
      </c>
      <c r="R100" s="114"/>
      <c r="S100" s="115"/>
      <c r="T100" s="105"/>
    </row>
    <row r="101" spans="1:20" outlineLevel="1">
      <c r="A101" s="105"/>
      <c r="B101" s="106" t="s">
        <v>308</v>
      </c>
      <c r="C101" s="105"/>
      <c r="D101" s="107">
        <v>50115</v>
      </c>
      <c r="E101" s="107" t="s">
        <v>354</v>
      </c>
      <c r="F101" s="108"/>
      <c r="G101" s="109"/>
      <c r="H101" s="110"/>
      <c r="I101" s="111"/>
      <c r="J101" s="112">
        <v>484.44</v>
      </c>
      <c r="K101" s="111"/>
      <c r="L101" s="112">
        <v>472.9</v>
      </c>
      <c r="M101" s="111"/>
      <c r="N101" s="112">
        <v>497.5</v>
      </c>
      <c r="O101" s="111"/>
      <c r="P101" s="112">
        <v>4543.3900000000003</v>
      </c>
      <c r="Q101" s="113">
        <f t="shared" si="6"/>
        <v>2.0496689556747222E-3</v>
      </c>
      <c r="R101" s="114"/>
      <c r="S101" s="115"/>
      <c r="T101" s="105"/>
    </row>
    <row r="102" spans="1:20" outlineLevel="1">
      <c r="A102" s="105"/>
      <c r="B102" s="106" t="s">
        <v>308</v>
      </c>
      <c r="C102" s="105"/>
      <c r="D102" s="107">
        <v>50335</v>
      </c>
      <c r="E102" s="107" t="s">
        <v>418</v>
      </c>
      <c r="F102" s="108"/>
      <c r="G102" s="109"/>
      <c r="H102" s="110"/>
      <c r="I102" s="111"/>
      <c r="J102" s="112">
        <v>0</v>
      </c>
      <c r="K102" s="111"/>
      <c r="L102" s="112">
        <v>0</v>
      </c>
      <c r="M102" s="111"/>
      <c r="N102" s="112">
        <v>0</v>
      </c>
      <c r="O102" s="111"/>
      <c r="P102" s="112">
        <v>0</v>
      </c>
      <c r="Q102" s="113">
        <f t="shared" si="6"/>
        <v>0</v>
      </c>
      <c r="R102" s="114"/>
      <c r="S102" s="115"/>
      <c r="T102" s="105"/>
    </row>
    <row r="103" spans="1:20" s="65" customFormat="1" ht="5.0999999999999996" customHeight="1" outlineLevel="1">
      <c r="A103" s="140"/>
      <c r="B103" s="138" t="s">
        <v>301</v>
      </c>
      <c r="C103" s="110"/>
      <c r="D103" s="108"/>
      <c r="E103" s="108"/>
      <c r="F103" s="108"/>
      <c r="G103" s="108"/>
      <c r="H103" s="110"/>
      <c r="I103" s="110"/>
      <c r="J103" s="143"/>
      <c r="K103" s="142"/>
      <c r="L103" s="143"/>
      <c r="M103" s="142"/>
      <c r="N103" s="143"/>
      <c r="O103" s="142"/>
      <c r="P103" s="143"/>
      <c r="Q103" s="137"/>
      <c r="R103" s="120"/>
      <c r="S103" s="120"/>
      <c r="T103" s="110"/>
    </row>
    <row r="104" spans="1:20" s="65" customFormat="1">
      <c r="A104" s="140" t="s">
        <v>344</v>
      </c>
      <c r="B104" s="138" t="s">
        <v>301</v>
      </c>
      <c r="C104" s="110"/>
      <c r="D104" s="110"/>
      <c r="E104" s="110"/>
      <c r="F104" s="108" t="s">
        <v>355</v>
      </c>
      <c r="G104" s="110"/>
      <c r="H104" s="110"/>
      <c r="I104" s="110"/>
      <c r="J104" s="141">
        <f>SUM(J91:J103)</f>
        <v>50182.630000000005</v>
      </c>
      <c r="K104" s="142"/>
      <c r="L104" s="141">
        <f>SUM(L91:L103)</f>
        <v>47414.170000000006</v>
      </c>
      <c r="M104" s="142"/>
      <c r="N104" s="141">
        <f>SUM(N91:N103)</f>
        <v>48818.55</v>
      </c>
      <c r="O104" s="142"/>
      <c r="P104" s="141">
        <f>SUM(P91:P103)</f>
        <v>419178.08999999997</v>
      </c>
      <c r="Q104" s="113">
        <f>IF(P$57=0,0,P104/P$57)</f>
        <v>0.18910468130009189</v>
      </c>
      <c r="R104" s="120"/>
      <c r="S104" s="120"/>
      <c r="T104" s="110"/>
    </row>
    <row r="105" spans="1:20" s="65" customFormat="1" outlineLevel="1">
      <c r="A105" s="138" t="s">
        <v>301</v>
      </c>
      <c r="B105" s="147"/>
      <c r="C105" s="110"/>
      <c r="D105" s="110"/>
      <c r="E105" s="110"/>
      <c r="F105" s="110"/>
      <c r="G105" s="110"/>
      <c r="H105" s="110"/>
      <c r="I105" s="110"/>
      <c r="J105" s="142"/>
      <c r="K105" s="142"/>
      <c r="L105" s="142"/>
      <c r="M105" s="142"/>
      <c r="N105" s="142"/>
      <c r="O105" s="142"/>
      <c r="P105" s="142"/>
      <c r="Q105" s="137"/>
      <c r="R105" s="120"/>
      <c r="S105" s="120"/>
      <c r="T105" s="110"/>
    </row>
    <row r="106" spans="1:20" outlineLevel="1">
      <c r="A106" s="105"/>
      <c r="B106" s="106" t="s">
        <v>356</v>
      </c>
      <c r="C106" s="105"/>
      <c r="D106" s="107">
        <v>51295</v>
      </c>
      <c r="E106" s="107" t="s">
        <v>357</v>
      </c>
      <c r="F106" s="108"/>
      <c r="G106" s="109"/>
      <c r="H106" s="110"/>
      <c r="I106" s="111"/>
      <c r="J106" s="112">
        <v>765.22</v>
      </c>
      <c r="K106" s="111"/>
      <c r="L106" s="112">
        <v>127.14</v>
      </c>
      <c r="M106" s="111"/>
      <c r="N106" s="112">
        <v>1058.6600000000001</v>
      </c>
      <c r="O106" s="111"/>
      <c r="P106" s="112">
        <v>4810.1099999999997</v>
      </c>
      <c r="Q106" s="113">
        <f>IF(P$57=0,0,P106/P$57)</f>
        <v>2.1699949025684646E-3</v>
      </c>
      <c r="R106" s="114"/>
      <c r="S106" s="115"/>
      <c r="T106" s="105"/>
    </row>
    <row r="107" spans="1:20" s="65" customFormat="1" ht="5.0999999999999996" customHeight="1" outlineLevel="1">
      <c r="A107" s="148"/>
      <c r="B107" s="140" t="s">
        <v>301</v>
      </c>
      <c r="C107" s="110"/>
      <c r="D107" s="108"/>
      <c r="E107" s="108"/>
      <c r="F107" s="108"/>
      <c r="G107" s="108"/>
      <c r="H107" s="110"/>
      <c r="I107" s="110"/>
      <c r="J107" s="143"/>
      <c r="K107" s="142"/>
      <c r="L107" s="143"/>
      <c r="M107" s="142"/>
      <c r="N107" s="143"/>
      <c r="O107" s="142"/>
      <c r="P107" s="143"/>
      <c r="Q107" s="137"/>
      <c r="R107" s="120"/>
      <c r="S107" s="120"/>
      <c r="T107" s="110"/>
    </row>
    <row r="108" spans="1:20" s="65" customFormat="1">
      <c r="A108" s="140" t="s">
        <v>356</v>
      </c>
      <c r="B108" s="140"/>
      <c r="C108" s="110"/>
      <c r="D108" s="110"/>
      <c r="E108" s="110"/>
      <c r="F108" s="108" t="s">
        <v>358</v>
      </c>
      <c r="G108" s="110"/>
      <c r="H108" s="110"/>
      <c r="I108" s="110"/>
      <c r="J108" s="141">
        <f>SUM(J106:J107)</f>
        <v>765.22</v>
      </c>
      <c r="K108" s="142"/>
      <c r="L108" s="141">
        <f>SUM(L106:L107)</f>
        <v>127.14</v>
      </c>
      <c r="M108" s="142"/>
      <c r="N108" s="141">
        <f>SUM(N106:N107)</f>
        <v>1058.6600000000001</v>
      </c>
      <c r="O108" s="142"/>
      <c r="P108" s="141">
        <f>SUM(P106:P107)</f>
        <v>4810.1099999999997</v>
      </c>
      <c r="Q108" s="113">
        <f>IF(P$57=0,0,P108/P$57)</f>
        <v>2.1699949025684646E-3</v>
      </c>
      <c r="R108" s="120"/>
      <c r="S108" s="120"/>
      <c r="T108" s="110"/>
    </row>
    <row r="109" spans="1:20" s="65" customFormat="1" outlineLevel="1">
      <c r="A109" s="140" t="s">
        <v>301</v>
      </c>
      <c r="B109" s="140"/>
      <c r="C109" s="110"/>
      <c r="D109" s="110"/>
      <c r="E109" s="110"/>
      <c r="F109" s="110"/>
      <c r="G109" s="110"/>
      <c r="H109" s="110"/>
      <c r="I109" s="110"/>
      <c r="J109" s="142"/>
      <c r="K109" s="142"/>
      <c r="L109" s="142"/>
      <c r="M109" s="142"/>
      <c r="N109" s="142"/>
      <c r="O109" s="142"/>
      <c r="P109" s="142"/>
      <c r="Q109" s="137"/>
      <c r="R109" s="120"/>
      <c r="S109" s="120"/>
      <c r="T109" s="110"/>
    </row>
    <row r="110" spans="1:20" s="65" customFormat="1" outlineLevel="1">
      <c r="A110" s="140"/>
      <c r="B110" s="140"/>
      <c r="C110" s="110"/>
      <c r="D110" s="110"/>
      <c r="E110" s="110"/>
      <c r="F110" s="110"/>
      <c r="G110" s="110"/>
      <c r="H110" s="110"/>
      <c r="I110" s="110"/>
      <c r="J110" s="142"/>
      <c r="K110" s="142"/>
      <c r="L110" s="142"/>
      <c r="M110" s="142"/>
      <c r="N110" s="142"/>
      <c r="O110" s="142"/>
      <c r="P110" s="142"/>
      <c r="Q110" s="137"/>
      <c r="R110" s="120"/>
      <c r="S110" s="120"/>
      <c r="T110" s="110"/>
    </row>
    <row r="111" spans="1:20" outlineLevel="1">
      <c r="A111" s="105"/>
      <c r="B111" s="106" t="s">
        <v>359</v>
      </c>
      <c r="C111" s="105"/>
      <c r="D111" s="107">
        <v>52020</v>
      </c>
      <c r="E111" s="107" t="s">
        <v>345</v>
      </c>
      <c r="F111" s="108"/>
      <c r="G111" s="109"/>
      <c r="H111" s="110"/>
      <c r="I111" s="111"/>
      <c r="J111" s="112">
        <v>6047.58</v>
      </c>
      <c r="K111" s="111"/>
      <c r="L111" s="112">
        <v>5944.06</v>
      </c>
      <c r="M111" s="111"/>
      <c r="N111" s="112">
        <v>6634.38</v>
      </c>
      <c r="O111" s="111"/>
      <c r="P111" s="112">
        <v>55176.87</v>
      </c>
      <c r="Q111" s="113">
        <f t="shared" ref="Q111:Q133" si="7">IF(P$57=0,0,P111/P$57)</f>
        <v>2.489205582402125E-2</v>
      </c>
      <c r="R111" s="114"/>
      <c r="S111" s="115"/>
      <c r="T111" s="105"/>
    </row>
    <row r="112" spans="1:20" outlineLevel="1">
      <c r="A112" s="105"/>
      <c r="B112" s="106" t="s">
        <v>308</v>
      </c>
      <c r="C112" s="105"/>
      <c r="D112" s="107">
        <v>52025</v>
      </c>
      <c r="E112" s="107" t="s">
        <v>346</v>
      </c>
      <c r="F112" s="108"/>
      <c r="G112" s="109"/>
      <c r="H112" s="110"/>
      <c r="I112" s="111"/>
      <c r="J112" s="112">
        <v>269.87</v>
      </c>
      <c r="K112" s="111"/>
      <c r="L112" s="112">
        <v>136.88</v>
      </c>
      <c r="M112" s="111"/>
      <c r="N112" s="112">
        <v>141.02000000000001</v>
      </c>
      <c r="O112" s="111"/>
      <c r="P112" s="112">
        <v>1766.72</v>
      </c>
      <c r="Q112" s="113">
        <f t="shared" si="7"/>
        <v>7.9702405854871472E-4</v>
      </c>
      <c r="R112" s="114"/>
      <c r="S112" s="115"/>
      <c r="T112" s="105"/>
    </row>
    <row r="113" spans="1:20" outlineLevel="1">
      <c r="A113" s="105"/>
      <c r="B113" s="106" t="s">
        <v>308</v>
      </c>
      <c r="C113" s="105"/>
      <c r="D113" s="107">
        <v>52035</v>
      </c>
      <c r="E113" s="107" t="s">
        <v>347</v>
      </c>
      <c r="F113" s="108"/>
      <c r="G113" s="109"/>
      <c r="H113" s="110"/>
      <c r="I113" s="111"/>
      <c r="J113" s="112">
        <v>0</v>
      </c>
      <c r="K113" s="111"/>
      <c r="L113" s="112">
        <v>0</v>
      </c>
      <c r="M113" s="111"/>
      <c r="N113" s="112">
        <v>0</v>
      </c>
      <c r="O113" s="111"/>
      <c r="P113" s="112">
        <v>0</v>
      </c>
      <c r="Q113" s="113">
        <f t="shared" si="7"/>
        <v>0</v>
      </c>
      <c r="R113" s="114"/>
      <c r="S113" s="115"/>
      <c r="T113" s="105"/>
    </row>
    <row r="114" spans="1:20" outlineLevel="1">
      <c r="A114" s="105"/>
      <c r="B114" s="106" t="s">
        <v>308</v>
      </c>
      <c r="C114" s="105"/>
      <c r="D114" s="107">
        <v>52050</v>
      </c>
      <c r="E114" s="107" t="s">
        <v>348</v>
      </c>
      <c r="F114" s="108"/>
      <c r="G114" s="109"/>
      <c r="H114" s="110"/>
      <c r="I114" s="111"/>
      <c r="J114" s="112">
        <v>592.73</v>
      </c>
      <c r="K114" s="111"/>
      <c r="L114" s="112">
        <v>552.32000000000005</v>
      </c>
      <c r="M114" s="111"/>
      <c r="N114" s="112">
        <v>582.20000000000005</v>
      </c>
      <c r="O114" s="111"/>
      <c r="P114" s="112">
        <v>5164.2299999999996</v>
      </c>
      <c r="Q114" s="113">
        <f t="shared" si="7"/>
        <v>2.3297497927679705E-3</v>
      </c>
      <c r="R114" s="114"/>
      <c r="S114" s="115"/>
      <c r="T114" s="105"/>
    </row>
    <row r="115" spans="1:20" outlineLevel="1">
      <c r="A115" s="105"/>
      <c r="B115" s="106" t="s">
        <v>308</v>
      </c>
      <c r="C115" s="105"/>
      <c r="D115" s="107">
        <v>52060</v>
      </c>
      <c r="E115" s="107" t="s">
        <v>349</v>
      </c>
      <c r="F115" s="108"/>
      <c r="G115" s="109"/>
      <c r="H115" s="110"/>
      <c r="I115" s="111"/>
      <c r="J115" s="112">
        <v>1697.24</v>
      </c>
      <c r="K115" s="111"/>
      <c r="L115" s="112">
        <v>1697.24</v>
      </c>
      <c r="M115" s="111"/>
      <c r="N115" s="112">
        <v>1697.24</v>
      </c>
      <c r="O115" s="111"/>
      <c r="P115" s="112">
        <v>16788.96</v>
      </c>
      <c r="Q115" s="113">
        <f t="shared" si="7"/>
        <v>7.5740383524339049E-3</v>
      </c>
      <c r="R115" s="114"/>
      <c r="S115" s="115"/>
      <c r="T115" s="105"/>
    </row>
    <row r="116" spans="1:20" outlineLevel="1">
      <c r="A116" s="105"/>
      <c r="B116" s="106" t="s">
        <v>308</v>
      </c>
      <c r="C116" s="105"/>
      <c r="D116" s="107">
        <v>52065</v>
      </c>
      <c r="E116" s="107" t="s">
        <v>350</v>
      </c>
      <c r="F116" s="108"/>
      <c r="G116" s="109"/>
      <c r="H116" s="110"/>
      <c r="I116" s="111"/>
      <c r="J116" s="112">
        <v>151.34</v>
      </c>
      <c r="K116" s="111"/>
      <c r="L116" s="112">
        <v>167.61</v>
      </c>
      <c r="M116" s="111"/>
      <c r="N116" s="112">
        <v>194.69</v>
      </c>
      <c r="O116" s="111"/>
      <c r="P116" s="112">
        <v>1732.95</v>
      </c>
      <c r="Q116" s="113">
        <f t="shared" si="7"/>
        <v>7.8178932839498912E-4</v>
      </c>
      <c r="R116" s="114"/>
      <c r="S116" s="115"/>
      <c r="T116" s="105"/>
    </row>
    <row r="117" spans="1:20" outlineLevel="1">
      <c r="A117" s="105"/>
      <c r="B117" s="106" t="s">
        <v>308</v>
      </c>
      <c r="C117" s="105"/>
      <c r="D117" s="107">
        <v>52070</v>
      </c>
      <c r="E117" s="107" t="s">
        <v>351</v>
      </c>
      <c r="F117" s="108"/>
      <c r="G117" s="109"/>
      <c r="H117" s="110"/>
      <c r="I117" s="111"/>
      <c r="J117" s="112">
        <v>0</v>
      </c>
      <c r="K117" s="111"/>
      <c r="L117" s="112">
        <v>0</v>
      </c>
      <c r="M117" s="111"/>
      <c r="N117" s="112">
        <v>123.18</v>
      </c>
      <c r="O117" s="111"/>
      <c r="P117" s="112">
        <v>1134.18</v>
      </c>
      <c r="Q117" s="113">
        <f t="shared" si="7"/>
        <v>5.1166497618455745E-4</v>
      </c>
      <c r="R117" s="114"/>
      <c r="S117" s="115"/>
      <c r="T117" s="105"/>
    </row>
    <row r="118" spans="1:20" outlineLevel="1">
      <c r="A118" s="105"/>
      <c r="B118" s="106" t="s">
        <v>308</v>
      </c>
      <c r="C118" s="105"/>
      <c r="D118" s="107">
        <v>52086</v>
      </c>
      <c r="E118" s="107" t="s">
        <v>352</v>
      </c>
      <c r="F118" s="108"/>
      <c r="G118" s="109"/>
      <c r="H118" s="110"/>
      <c r="I118" s="111"/>
      <c r="J118" s="112">
        <v>0</v>
      </c>
      <c r="K118" s="111"/>
      <c r="L118" s="112">
        <v>0</v>
      </c>
      <c r="M118" s="111"/>
      <c r="N118" s="112">
        <v>0</v>
      </c>
      <c r="O118" s="111"/>
      <c r="P118" s="112">
        <v>0</v>
      </c>
      <c r="Q118" s="113">
        <f t="shared" si="7"/>
        <v>0</v>
      </c>
      <c r="R118" s="114"/>
      <c r="S118" s="115"/>
      <c r="T118" s="105"/>
    </row>
    <row r="119" spans="1:20" outlineLevel="1">
      <c r="A119" s="105"/>
      <c r="B119" s="106" t="s">
        <v>308</v>
      </c>
      <c r="C119" s="105"/>
      <c r="D119" s="107">
        <v>52087</v>
      </c>
      <c r="E119" s="107" t="s">
        <v>361</v>
      </c>
      <c r="F119" s="108"/>
      <c r="G119" s="109"/>
      <c r="H119" s="110"/>
      <c r="I119" s="111"/>
      <c r="J119" s="112">
        <v>260</v>
      </c>
      <c r="K119" s="111"/>
      <c r="L119" s="112">
        <v>0</v>
      </c>
      <c r="M119" s="111"/>
      <c r="N119" s="112">
        <v>0</v>
      </c>
      <c r="O119" s="111"/>
      <c r="P119" s="112">
        <v>260</v>
      </c>
      <c r="Q119" s="113">
        <f t="shared" si="7"/>
        <v>1.1729433935352846E-4</v>
      </c>
      <c r="R119" s="114"/>
      <c r="S119" s="115"/>
      <c r="T119" s="105"/>
    </row>
    <row r="120" spans="1:20" outlineLevel="1">
      <c r="A120" s="105"/>
      <c r="B120" s="106" t="s">
        <v>308</v>
      </c>
      <c r="C120" s="105"/>
      <c r="D120" s="107">
        <v>52090</v>
      </c>
      <c r="E120" s="107" t="s">
        <v>353</v>
      </c>
      <c r="F120" s="108"/>
      <c r="G120" s="109"/>
      <c r="H120" s="110"/>
      <c r="I120" s="111"/>
      <c r="J120" s="112">
        <v>1043.49</v>
      </c>
      <c r="K120" s="111"/>
      <c r="L120" s="112">
        <v>190.58</v>
      </c>
      <c r="M120" s="111"/>
      <c r="N120" s="112">
        <v>0</v>
      </c>
      <c r="O120" s="111"/>
      <c r="P120" s="112">
        <v>2416.0300000000002</v>
      </c>
      <c r="Q120" s="113">
        <f t="shared" si="7"/>
        <v>1.0899486258011746E-3</v>
      </c>
      <c r="R120" s="114"/>
      <c r="S120" s="115"/>
      <c r="T120" s="105"/>
    </row>
    <row r="121" spans="1:20" outlineLevel="1">
      <c r="A121" s="105"/>
      <c r="B121" s="106" t="s">
        <v>308</v>
      </c>
      <c r="C121" s="105"/>
      <c r="D121" s="107">
        <v>52115</v>
      </c>
      <c r="E121" s="107" t="s">
        <v>354</v>
      </c>
      <c r="F121" s="108"/>
      <c r="G121" s="109"/>
      <c r="H121" s="110"/>
      <c r="I121" s="111"/>
      <c r="J121" s="112">
        <v>87.27</v>
      </c>
      <c r="K121" s="111"/>
      <c r="L121" s="112">
        <v>88.45</v>
      </c>
      <c r="M121" s="111"/>
      <c r="N121" s="112">
        <v>87.53</v>
      </c>
      <c r="O121" s="111"/>
      <c r="P121" s="112">
        <v>823.44</v>
      </c>
      <c r="Q121" s="113">
        <f t="shared" si="7"/>
        <v>3.7148019537411341E-4</v>
      </c>
      <c r="R121" s="114"/>
      <c r="S121" s="115"/>
      <c r="T121" s="105"/>
    </row>
    <row r="122" spans="1:20" outlineLevel="1">
      <c r="A122" s="105"/>
      <c r="B122" s="106" t="s">
        <v>308</v>
      </c>
      <c r="C122" s="105"/>
      <c r="D122" s="107">
        <v>52120</v>
      </c>
      <c r="E122" s="107" t="s">
        <v>362</v>
      </c>
      <c r="F122" s="108"/>
      <c r="G122" s="109"/>
      <c r="H122" s="110"/>
      <c r="I122" s="111"/>
      <c r="J122" s="112">
        <v>5538.83</v>
      </c>
      <c r="K122" s="111"/>
      <c r="L122" s="112">
        <v>4480.0600000000004</v>
      </c>
      <c r="M122" s="111"/>
      <c r="N122" s="112">
        <v>6184.29</v>
      </c>
      <c r="O122" s="111"/>
      <c r="P122" s="112">
        <v>55925.82</v>
      </c>
      <c r="Q122" s="113">
        <f t="shared" si="7"/>
        <v>2.5229931191170576E-2</v>
      </c>
      <c r="R122" s="114"/>
      <c r="S122" s="115"/>
      <c r="T122" s="105"/>
    </row>
    <row r="123" spans="1:20" outlineLevel="1">
      <c r="A123" s="105"/>
      <c r="B123" s="106" t="s">
        <v>308</v>
      </c>
      <c r="C123" s="105"/>
      <c r="D123" s="107">
        <v>52125</v>
      </c>
      <c r="E123" s="107" t="s">
        <v>363</v>
      </c>
      <c r="F123" s="108"/>
      <c r="G123" s="109"/>
      <c r="H123" s="110"/>
      <c r="I123" s="111"/>
      <c r="J123" s="112">
        <v>268.10000000000002</v>
      </c>
      <c r="K123" s="111"/>
      <c r="L123" s="112">
        <v>226.38</v>
      </c>
      <c r="M123" s="111"/>
      <c r="N123" s="112">
        <v>356.09</v>
      </c>
      <c r="O123" s="111"/>
      <c r="P123" s="112">
        <v>3262.65</v>
      </c>
      <c r="Q123" s="113">
        <f t="shared" si="7"/>
        <v>1.4718860626607296E-3</v>
      </c>
      <c r="R123" s="114"/>
      <c r="S123" s="115"/>
      <c r="T123" s="105"/>
    </row>
    <row r="124" spans="1:20" outlineLevel="1">
      <c r="A124" s="105"/>
      <c r="B124" s="106" t="s">
        <v>308</v>
      </c>
      <c r="C124" s="105"/>
      <c r="D124" s="107">
        <v>52140</v>
      </c>
      <c r="E124" s="107" t="s">
        <v>364</v>
      </c>
      <c r="F124" s="108"/>
      <c r="G124" s="109"/>
      <c r="H124" s="110"/>
      <c r="I124" s="111"/>
      <c r="J124" s="112">
        <v>3334.37</v>
      </c>
      <c r="K124" s="111"/>
      <c r="L124" s="112">
        <v>5033.1400000000003</v>
      </c>
      <c r="M124" s="111"/>
      <c r="N124" s="112">
        <v>3736.29</v>
      </c>
      <c r="O124" s="111"/>
      <c r="P124" s="112">
        <v>26132.06</v>
      </c>
      <c r="Q124" s="113">
        <f t="shared" si="7"/>
        <v>1.1789010437102952E-2</v>
      </c>
      <c r="R124" s="114"/>
      <c r="S124" s="115"/>
      <c r="T124" s="105"/>
    </row>
    <row r="125" spans="1:20" outlineLevel="1">
      <c r="A125" s="105"/>
      <c r="B125" s="106" t="s">
        <v>308</v>
      </c>
      <c r="C125" s="105"/>
      <c r="D125" s="107">
        <v>52142</v>
      </c>
      <c r="E125" s="107" t="s">
        <v>365</v>
      </c>
      <c r="F125" s="108"/>
      <c r="G125" s="109"/>
      <c r="H125" s="110"/>
      <c r="I125" s="111"/>
      <c r="J125" s="112">
        <v>16590.599999999999</v>
      </c>
      <c r="K125" s="111"/>
      <c r="L125" s="112">
        <v>12088.45</v>
      </c>
      <c r="M125" s="111"/>
      <c r="N125" s="112">
        <v>13099.81</v>
      </c>
      <c r="O125" s="111"/>
      <c r="P125" s="112">
        <v>117904.35</v>
      </c>
      <c r="Q125" s="113">
        <f t="shared" si="7"/>
        <v>5.3190434000604594E-2</v>
      </c>
      <c r="R125" s="114"/>
      <c r="S125" s="115"/>
      <c r="T125" s="105"/>
    </row>
    <row r="126" spans="1:20" outlineLevel="1">
      <c r="A126" s="105"/>
      <c r="B126" s="106" t="s">
        <v>308</v>
      </c>
      <c r="C126" s="105"/>
      <c r="D126" s="107">
        <v>52146</v>
      </c>
      <c r="E126" s="107" t="s">
        <v>366</v>
      </c>
      <c r="F126" s="108"/>
      <c r="G126" s="109"/>
      <c r="H126" s="110"/>
      <c r="I126" s="111"/>
      <c r="J126" s="112">
        <v>183.09</v>
      </c>
      <c r="K126" s="111"/>
      <c r="L126" s="112">
        <v>115.08</v>
      </c>
      <c r="M126" s="111"/>
      <c r="N126" s="112">
        <v>1520.34</v>
      </c>
      <c r="O126" s="111"/>
      <c r="P126" s="112">
        <v>6681.62</v>
      </c>
      <c r="Q126" s="113">
        <f t="shared" si="7"/>
        <v>3.0142930911973959E-3</v>
      </c>
      <c r="R126" s="114"/>
      <c r="S126" s="115"/>
      <c r="T126" s="105"/>
    </row>
    <row r="127" spans="1:20" outlineLevel="1">
      <c r="A127" s="105"/>
      <c r="B127" s="106" t="s">
        <v>308</v>
      </c>
      <c r="C127" s="105"/>
      <c r="D127" s="107">
        <v>52147</v>
      </c>
      <c r="E127" s="107" t="s">
        <v>367</v>
      </c>
      <c r="F127" s="108"/>
      <c r="G127" s="109"/>
      <c r="H127" s="110"/>
      <c r="I127" s="111"/>
      <c r="J127" s="112">
        <v>6376.83</v>
      </c>
      <c r="K127" s="111"/>
      <c r="L127" s="112">
        <v>142.31</v>
      </c>
      <c r="M127" s="111"/>
      <c r="N127" s="112">
        <v>5572.19</v>
      </c>
      <c r="O127" s="111"/>
      <c r="P127" s="112">
        <v>13868.2</v>
      </c>
      <c r="Q127" s="113">
        <f t="shared" si="7"/>
        <v>6.2563898347023214E-3</v>
      </c>
      <c r="R127" s="114"/>
      <c r="S127" s="115"/>
      <c r="T127" s="105"/>
    </row>
    <row r="128" spans="1:20" outlineLevel="1">
      <c r="A128" s="105"/>
      <c r="B128" s="106" t="s">
        <v>308</v>
      </c>
      <c r="C128" s="105"/>
      <c r="D128" s="107">
        <v>52150</v>
      </c>
      <c r="E128" s="107" t="s">
        <v>368</v>
      </c>
      <c r="F128" s="108"/>
      <c r="G128" s="109"/>
      <c r="H128" s="110"/>
      <c r="I128" s="111"/>
      <c r="J128" s="112">
        <v>94.46</v>
      </c>
      <c r="K128" s="111"/>
      <c r="L128" s="112">
        <v>113.49</v>
      </c>
      <c r="M128" s="111"/>
      <c r="N128" s="112">
        <v>113.49</v>
      </c>
      <c r="O128" s="111"/>
      <c r="P128" s="112">
        <v>1139.07</v>
      </c>
      <c r="Q128" s="113">
        <f t="shared" si="7"/>
        <v>5.1387101202855258E-4</v>
      </c>
      <c r="R128" s="114"/>
      <c r="S128" s="115"/>
      <c r="T128" s="105"/>
    </row>
    <row r="129" spans="1:20" outlineLevel="1">
      <c r="A129" s="105"/>
      <c r="B129" s="106" t="s">
        <v>308</v>
      </c>
      <c r="C129" s="105"/>
      <c r="D129" s="107">
        <v>52165</v>
      </c>
      <c r="E129" s="107" t="s">
        <v>369</v>
      </c>
      <c r="F129" s="108"/>
      <c r="G129" s="109"/>
      <c r="H129" s="110"/>
      <c r="I129" s="111"/>
      <c r="J129" s="112">
        <v>0</v>
      </c>
      <c r="K129" s="111"/>
      <c r="L129" s="112">
        <v>0</v>
      </c>
      <c r="M129" s="111"/>
      <c r="N129" s="112">
        <v>324</v>
      </c>
      <c r="O129" s="111"/>
      <c r="P129" s="112">
        <v>324</v>
      </c>
      <c r="Q129" s="113">
        <f t="shared" si="7"/>
        <v>1.4616679211747395E-4</v>
      </c>
      <c r="R129" s="114"/>
      <c r="S129" s="115"/>
      <c r="T129" s="105"/>
    </row>
    <row r="130" spans="1:20" outlineLevel="1">
      <c r="A130" s="105"/>
      <c r="B130" s="106" t="s">
        <v>308</v>
      </c>
      <c r="C130" s="105"/>
      <c r="D130" s="107">
        <v>52175</v>
      </c>
      <c r="E130" s="107" t="s">
        <v>404</v>
      </c>
      <c r="F130" s="108"/>
      <c r="G130" s="109"/>
      <c r="H130" s="110"/>
      <c r="I130" s="111"/>
      <c r="J130" s="112">
        <v>0</v>
      </c>
      <c r="K130" s="111"/>
      <c r="L130" s="112">
        <v>0</v>
      </c>
      <c r="M130" s="111"/>
      <c r="N130" s="112">
        <v>0</v>
      </c>
      <c r="O130" s="111"/>
      <c r="P130" s="112">
        <v>0</v>
      </c>
      <c r="Q130" s="113">
        <f t="shared" si="7"/>
        <v>0</v>
      </c>
      <c r="R130" s="114"/>
      <c r="S130" s="115"/>
      <c r="T130" s="105"/>
    </row>
    <row r="131" spans="1:20" outlineLevel="1">
      <c r="A131" s="105"/>
      <c r="B131" s="106" t="s">
        <v>308</v>
      </c>
      <c r="C131" s="105"/>
      <c r="D131" s="107">
        <v>52181</v>
      </c>
      <c r="E131" s="107" t="s">
        <v>536</v>
      </c>
      <c r="F131" s="108"/>
      <c r="G131" s="109"/>
      <c r="H131" s="110"/>
      <c r="I131" s="111"/>
      <c r="J131" s="112">
        <v>0</v>
      </c>
      <c r="K131" s="111"/>
      <c r="L131" s="112">
        <v>0</v>
      </c>
      <c r="M131" s="111"/>
      <c r="N131" s="112">
        <v>28.76</v>
      </c>
      <c r="O131" s="111"/>
      <c r="P131" s="112">
        <v>3028.76</v>
      </c>
      <c r="Q131" s="113">
        <f t="shared" si="7"/>
        <v>1.3663707817707419E-3</v>
      </c>
      <c r="R131" s="114"/>
      <c r="S131" s="115"/>
      <c r="T131" s="105"/>
    </row>
    <row r="132" spans="1:20" outlineLevel="1">
      <c r="A132" s="105"/>
      <c r="B132" s="106" t="s">
        <v>308</v>
      </c>
      <c r="C132" s="105"/>
      <c r="D132" s="107">
        <v>52182</v>
      </c>
      <c r="E132" s="107" t="s">
        <v>370</v>
      </c>
      <c r="F132" s="108"/>
      <c r="G132" s="109"/>
      <c r="H132" s="110"/>
      <c r="I132" s="111"/>
      <c r="J132" s="112">
        <v>404.96</v>
      </c>
      <c r="K132" s="111"/>
      <c r="L132" s="112">
        <v>595.79</v>
      </c>
      <c r="M132" s="111"/>
      <c r="N132" s="112">
        <v>0</v>
      </c>
      <c r="O132" s="111"/>
      <c r="P132" s="112">
        <v>2294.35</v>
      </c>
      <c r="Q132" s="113">
        <f t="shared" si="7"/>
        <v>1.0350548749837232E-3</v>
      </c>
      <c r="R132" s="114"/>
      <c r="S132" s="115"/>
      <c r="T132" s="105"/>
    </row>
    <row r="133" spans="1:20" outlineLevel="1">
      <c r="A133" s="105"/>
      <c r="B133" s="106" t="s">
        <v>308</v>
      </c>
      <c r="C133" s="105"/>
      <c r="D133" s="107">
        <v>52901</v>
      </c>
      <c r="E133" s="107" t="s">
        <v>537</v>
      </c>
      <c r="F133" s="108"/>
      <c r="G133" s="109"/>
      <c r="H133" s="110"/>
      <c r="I133" s="111"/>
      <c r="J133" s="112">
        <v>0</v>
      </c>
      <c r="K133" s="111"/>
      <c r="L133" s="112">
        <v>0</v>
      </c>
      <c r="M133" s="111"/>
      <c r="N133" s="112">
        <v>0</v>
      </c>
      <c r="O133" s="111"/>
      <c r="P133" s="112">
        <v>0</v>
      </c>
      <c r="Q133" s="113">
        <f t="shared" si="7"/>
        <v>0</v>
      </c>
      <c r="R133" s="114"/>
      <c r="S133" s="115"/>
      <c r="T133" s="105"/>
    </row>
    <row r="134" spans="1:20" s="65" customFormat="1" ht="5.0999999999999996" customHeight="1" outlineLevel="1">
      <c r="A134" s="140"/>
      <c r="B134" s="140" t="s">
        <v>301</v>
      </c>
      <c r="C134" s="110"/>
      <c r="D134" s="108"/>
      <c r="E134" s="108"/>
      <c r="F134" s="108"/>
      <c r="G134" s="108"/>
      <c r="H134" s="110"/>
      <c r="I134" s="110"/>
      <c r="J134" s="143"/>
      <c r="K134" s="142"/>
      <c r="L134" s="143"/>
      <c r="M134" s="142"/>
      <c r="N134" s="143"/>
      <c r="O134" s="142"/>
      <c r="P134" s="143"/>
      <c r="Q134" s="137"/>
      <c r="R134" s="120"/>
      <c r="S134" s="120"/>
      <c r="T134" s="110"/>
    </row>
    <row r="135" spans="1:20" s="65" customFormat="1">
      <c r="A135" s="140" t="s">
        <v>359</v>
      </c>
      <c r="B135" s="140" t="s">
        <v>301</v>
      </c>
      <c r="C135" s="110"/>
      <c r="D135" s="110"/>
      <c r="E135" s="110"/>
      <c r="F135" s="108" t="s">
        <v>371</v>
      </c>
      <c r="G135" s="110"/>
      <c r="H135" s="110"/>
      <c r="I135" s="110"/>
      <c r="J135" s="141">
        <f>SUM(J110:J134)</f>
        <v>42940.759999999995</v>
      </c>
      <c r="K135" s="142"/>
      <c r="L135" s="141">
        <f>SUM(L110:L134)</f>
        <v>31571.840000000007</v>
      </c>
      <c r="M135" s="142"/>
      <c r="N135" s="141">
        <f>SUM(N110:N134)</f>
        <v>40395.5</v>
      </c>
      <c r="O135" s="142"/>
      <c r="P135" s="141">
        <f>SUM(P110:P134)</f>
        <v>315824.26</v>
      </c>
      <c r="Q135" s="113">
        <f>IF(P$57=0,0,P135/P$57)</f>
        <v>0.14247845357121927</v>
      </c>
      <c r="R135" s="120"/>
      <c r="S135" s="120"/>
      <c r="T135" s="110"/>
    </row>
    <row r="136" spans="1:20" s="65" customFormat="1" outlineLevel="1">
      <c r="A136" s="140" t="s">
        <v>301</v>
      </c>
      <c r="B136" s="140" t="s">
        <v>301</v>
      </c>
      <c r="C136" s="110"/>
      <c r="D136" s="110"/>
      <c r="E136" s="110"/>
      <c r="F136" s="110"/>
      <c r="G136" s="110"/>
      <c r="H136" s="110"/>
      <c r="I136" s="110"/>
      <c r="J136" s="142"/>
      <c r="K136" s="142"/>
      <c r="L136" s="142"/>
      <c r="M136" s="142"/>
      <c r="N136" s="142"/>
      <c r="O136" s="142"/>
      <c r="P136" s="142"/>
      <c r="Q136" s="137"/>
      <c r="R136" s="120"/>
      <c r="S136" s="120"/>
      <c r="T136" s="110"/>
    </row>
    <row r="137" spans="1:20" s="65" customFormat="1" outlineLevel="1">
      <c r="A137" s="140" t="s">
        <v>301</v>
      </c>
      <c r="B137" s="147"/>
      <c r="C137" s="110"/>
      <c r="D137" s="110"/>
      <c r="E137" s="110"/>
      <c r="F137" s="110"/>
      <c r="G137" s="110"/>
      <c r="H137" s="110"/>
      <c r="I137" s="110"/>
      <c r="J137" s="142"/>
      <c r="K137" s="142"/>
      <c r="L137" s="142"/>
      <c r="M137" s="142"/>
      <c r="N137" s="142"/>
      <c r="O137" s="142"/>
      <c r="P137" s="142"/>
      <c r="Q137" s="137"/>
      <c r="R137" s="120"/>
      <c r="S137" s="120"/>
      <c r="T137" s="110"/>
    </row>
    <row r="138" spans="1:20" outlineLevel="1">
      <c r="A138" s="105"/>
      <c r="B138" s="106" t="s">
        <v>372</v>
      </c>
      <c r="C138" s="105"/>
      <c r="D138" s="107">
        <v>55120</v>
      </c>
      <c r="E138" s="107" t="s">
        <v>362</v>
      </c>
      <c r="F138" s="108"/>
      <c r="G138" s="109"/>
      <c r="H138" s="110"/>
      <c r="I138" s="111"/>
      <c r="J138" s="112">
        <v>980.52</v>
      </c>
      <c r="K138" s="111"/>
      <c r="L138" s="112">
        <v>3182.29</v>
      </c>
      <c r="M138" s="111"/>
      <c r="N138" s="112">
        <v>1143.57</v>
      </c>
      <c r="O138" s="111"/>
      <c r="P138" s="112">
        <v>17631.52</v>
      </c>
      <c r="Q138" s="113">
        <f t="shared" ref="Q138:Q140" si="8">IF(P$57=0,0,P138/P$57)</f>
        <v>7.954144193071248E-3</v>
      </c>
      <c r="R138" s="114"/>
      <c r="S138" s="115"/>
      <c r="T138" s="105"/>
    </row>
    <row r="139" spans="1:20" outlineLevel="1">
      <c r="A139" s="105"/>
      <c r="B139" s="106" t="s">
        <v>308</v>
      </c>
      <c r="C139" s="105"/>
      <c r="D139" s="107">
        <v>55125</v>
      </c>
      <c r="E139" s="107" t="s">
        <v>363</v>
      </c>
      <c r="F139" s="108"/>
      <c r="G139" s="109"/>
      <c r="H139" s="110"/>
      <c r="I139" s="111"/>
      <c r="J139" s="112">
        <v>275.35000000000002</v>
      </c>
      <c r="K139" s="111"/>
      <c r="L139" s="112">
        <v>71.31</v>
      </c>
      <c r="M139" s="111"/>
      <c r="N139" s="112">
        <v>155.19999999999999</v>
      </c>
      <c r="O139" s="111"/>
      <c r="P139" s="112">
        <v>2863.06</v>
      </c>
      <c r="Q139" s="113">
        <f t="shared" si="8"/>
        <v>1.2916181970365893E-3</v>
      </c>
      <c r="R139" s="114"/>
      <c r="S139" s="115"/>
      <c r="T139" s="105"/>
    </row>
    <row r="140" spans="1:20" outlineLevel="1">
      <c r="A140" s="105"/>
      <c r="B140" s="106" t="s">
        <v>308</v>
      </c>
      <c r="C140" s="105"/>
      <c r="D140" s="107">
        <v>55142</v>
      </c>
      <c r="E140" s="107" t="s">
        <v>365</v>
      </c>
      <c r="F140" s="108"/>
      <c r="G140" s="109"/>
      <c r="H140" s="110"/>
      <c r="I140" s="111"/>
      <c r="J140" s="112">
        <v>0</v>
      </c>
      <c r="K140" s="111"/>
      <c r="L140" s="112">
        <v>0</v>
      </c>
      <c r="M140" s="111"/>
      <c r="N140" s="112">
        <v>0</v>
      </c>
      <c r="O140" s="111"/>
      <c r="P140" s="112">
        <v>0</v>
      </c>
      <c r="Q140" s="113">
        <f t="shared" si="8"/>
        <v>0</v>
      </c>
      <c r="R140" s="114"/>
      <c r="S140" s="115"/>
      <c r="T140" s="105"/>
    </row>
    <row r="141" spans="1:20" s="65" customFormat="1" ht="5.0999999999999996" customHeight="1" outlineLevel="1">
      <c r="A141" s="148"/>
      <c r="B141" s="140" t="s">
        <v>301</v>
      </c>
      <c r="C141" s="110"/>
      <c r="D141" s="108"/>
      <c r="E141" s="108"/>
      <c r="F141" s="108"/>
      <c r="G141" s="108"/>
      <c r="H141" s="110"/>
      <c r="I141" s="110"/>
      <c r="J141" s="143"/>
      <c r="K141" s="142"/>
      <c r="L141" s="143"/>
      <c r="M141" s="142"/>
      <c r="N141" s="143"/>
      <c r="O141" s="142"/>
      <c r="P141" s="143"/>
      <c r="Q141" s="137"/>
      <c r="R141" s="120"/>
      <c r="S141" s="120"/>
      <c r="T141" s="110"/>
    </row>
    <row r="142" spans="1:20" s="65" customFormat="1">
      <c r="A142" s="140" t="s">
        <v>372</v>
      </c>
      <c r="B142" s="140"/>
      <c r="C142" s="110"/>
      <c r="D142" s="110"/>
      <c r="E142" s="110"/>
      <c r="F142" s="108" t="s">
        <v>374</v>
      </c>
      <c r="G142" s="110"/>
      <c r="H142" s="110"/>
      <c r="I142" s="110"/>
      <c r="J142" s="141">
        <f>SUM(J137:J141)</f>
        <v>1255.8699999999999</v>
      </c>
      <c r="K142" s="142"/>
      <c r="L142" s="141">
        <f>SUM(L137:L141)</f>
        <v>3253.6</v>
      </c>
      <c r="M142" s="142"/>
      <c r="N142" s="141">
        <f>SUM(N137:N141)</f>
        <v>1298.77</v>
      </c>
      <c r="O142" s="142"/>
      <c r="P142" s="141">
        <f>SUM(P137:P141)</f>
        <v>20494.580000000002</v>
      </c>
      <c r="Q142" s="113">
        <f>IF(P$57=0,0,P142/P$57)</f>
        <v>9.2457623901078378E-3</v>
      </c>
      <c r="R142" s="120"/>
      <c r="S142" s="120"/>
      <c r="T142" s="110"/>
    </row>
    <row r="143" spans="1:20" s="65" customFormat="1" outlineLevel="1">
      <c r="A143" s="140" t="s">
        <v>301</v>
      </c>
      <c r="B143" s="140"/>
      <c r="C143" s="110"/>
      <c r="D143" s="110"/>
      <c r="E143" s="110"/>
      <c r="F143" s="110"/>
      <c r="G143" s="110"/>
      <c r="H143" s="110"/>
      <c r="I143" s="110"/>
      <c r="J143" s="142"/>
      <c r="K143" s="142"/>
      <c r="L143" s="142"/>
      <c r="M143" s="142"/>
      <c r="N143" s="142"/>
      <c r="O143" s="142"/>
      <c r="P143" s="142"/>
      <c r="Q143" s="137"/>
      <c r="R143" s="120"/>
      <c r="S143" s="120"/>
      <c r="T143" s="110"/>
    </row>
    <row r="144" spans="1:20" s="65" customFormat="1" outlineLevel="1">
      <c r="A144" s="140"/>
      <c r="B144" s="140" t="s">
        <v>301</v>
      </c>
      <c r="C144" s="110"/>
      <c r="D144" s="110"/>
      <c r="E144" s="110"/>
      <c r="F144" s="110"/>
      <c r="G144" s="110"/>
      <c r="H144" s="110"/>
      <c r="I144" s="110"/>
      <c r="J144" s="142"/>
      <c r="K144" s="142"/>
      <c r="L144" s="142"/>
      <c r="M144" s="142"/>
      <c r="N144" s="142"/>
      <c r="O144" s="142"/>
      <c r="P144" s="142"/>
      <c r="Q144" s="137"/>
      <c r="R144" s="120"/>
      <c r="S144" s="120"/>
      <c r="T144" s="110"/>
    </row>
    <row r="145" spans="1:20" outlineLevel="1">
      <c r="A145" s="105"/>
      <c r="B145" s="106" t="s">
        <v>375</v>
      </c>
      <c r="C145" s="105"/>
      <c r="D145" s="107">
        <v>56010</v>
      </c>
      <c r="E145" s="107" t="s">
        <v>360</v>
      </c>
      <c r="F145" s="108"/>
      <c r="G145" s="109"/>
      <c r="H145" s="110"/>
      <c r="I145" s="111"/>
      <c r="J145" s="112">
        <v>8941.67</v>
      </c>
      <c r="K145" s="111"/>
      <c r="L145" s="112">
        <v>8621.67</v>
      </c>
      <c r="M145" s="111"/>
      <c r="N145" s="112">
        <v>8939.17</v>
      </c>
      <c r="O145" s="111"/>
      <c r="P145" s="112">
        <v>77902.53</v>
      </c>
      <c r="Q145" s="113">
        <f t="shared" ref="Q145:Q154" si="9">IF(P$57=0,0,P145/P$57)</f>
        <v>3.5144329962763197E-2</v>
      </c>
      <c r="R145" s="114"/>
      <c r="S145" s="115"/>
      <c r="T145" s="105"/>
    </row>
    <row r="146" spans="1:20" outlineLevel="1">
      <c r="A146" s="105"/>
      <c r="B146" s="106" t="s">
        <v>308</v>
      </c>
      <c r="C146" s="105"/>
      <c r="D146" s="107">
        <v>56050</v>
      </c>
      <c r="E146" s="107" t="s">
        <v>348</v>
      </c>
      <c r="F146" s="108"/>
      <c r="G146" s="109"/>
      <c r="H146" s="110"/>
      <c r="I146" s="111"/>
      <c r="J146" s="112">
        <v>433.36</v>
      </c>
      <c r="K146" s="111"/>
      <c r="L146" s="112">
        <v>391.47</v>
      </c>
      <c r="M146" s="111"/>
      <c r="N146" s="112">
        <v>416.67</v>
      </c>
      <c r="O146" s="111"/>
      <c r="P146" s="112">
        <v>3896.37</v>
      </c>
      <c r="Q146" s="113">
        <f t="shared" si="9"/>
        <v>1.7577774808727219E-3</v>
      </c>
      <c r="R146" s="114"/>
      <c r="S146" s="115"/>
      <c r="T146" s="105"/>
    </row>
    <row r="147" spans="1:20" outlineLevel="1">
      <c r="A147" s="105"/>
      <c r="B147" s="106" t="s">
        <v>308</v>
      </c>
      <c r="C147" s="105"/>
      <c r="D147" s="107">
        <v>56060</v>
      </c>
      <c r="E147" s="107" t="s">
        <v>349</v>
      </c>
      <c r="F147" s="108"/>
      <c r="G147" s="109"/>
      <c r="H147" s="110"/>
      <c r="I147" s="111"/>
      <c r="J147" s="112">
        <v>705.54</v>
      </c>
      <c r="K147" s="111"/>
      <c r="L147" s="112">
        <v>705.54</v>
      </c>
      <c r="M147" s="111"/>
      <c r="N147" s="112">
        <v>705.54</v>
      </c>
      <c r="O147" s="111"/>
      <c r="P147" s="112">
        <v>6283.81</v>
      </c>
      <c r="Q147" s="113">
        <f t="shared" si="9"/>
        <v>2.8348282406657531E-3</v>
      </c>
      <c r="R147" s="114"/>
      <c r="S147" s="115"/>
      <c r="T147" s="105"/>
    </row>
    <row r="148" spans="1:20" outlineLevel="1">
      <c r="A148" s="105"/>
      <c r="B148" s="106" t="s">
        <v>308</v>
      </c>
      <c r="C148" s="105"/>
      <c r="D148" s="107">
        <v>56065</v>
      </c>
      <c r="E148" s="107" t="s">
        <v>350</v>
      </c>
      <c r="F148" s="108"/>
      <c r="G148" s="109"/>
      <c r="H148" s="110"/>
      <c r="I148" s="111"/>
      <c r="J148" s="112">
        <v>228.57</v>
      </c>
      <c r="K148" s="111"/>
      <c r="L148" s="112">
        <v>354.38</v>
      </c>
      <c r="M148" s="111"/>
      <c r="N148" s="112">
        <v>231.15</v>
      </c>
      <c r="O148" s="111"/>
      <c r="P148" s="112">
        <v>2148.67</v>
      </c>
      <c r="Q148" s="113">
        <f t="shared" si="9"/>
        <v>9.6933395437979238E-4</v>
      </c>
      <c r="R148" s="114"/>
      <c r="S148" s="115"/>
      <c r="T148" s="105"/>
    </row>
    <row r="149" spans="1:20" outlineLevel="1">
      <c r="A149" s="105"/>
      <c r="B149" s="106" t="s">
        <v>308</v>
      </c>
      <c r="C149" s="105"/>
      <c r="D149" s="107">
        <v>56086</v>
      </c>
      <c r="E149" s="107" t="s">
        <v>352</v>
      </c>
      <c r="F149" s="108"/>
      <c r="G149" s="109"/>
      <c r="H149" s="110"/>
      <c r="I149" s="111"/>
      <c r="J149" s="112">
        <v>0</v>
      </c>
      <c r="K149" s="111"/>
      <c r="L149" s="112">
        <v>0</v>
      </c>
      <c r="M149" s="111"/>
      <c r="N149" s="112">
        <v>0</v>
      </c>
      <c r="O149" s="111"/>
      <c r="P149" s="112">
        <v>0</v>
      </c>
      <c r="Q149" s="113">
        <f t="shared" si="9"/>
        <v>0</v>
      </c>
      <c r="R149" s="114"/>
      <c r="S149" s="115"/>
      <c r="T149" s="105"/>
    </row>
    <row r="150" spans="1:20" outlineLevel="1">
      <c r="A150" s="105"/>
      <c r="B150" s="106" t="s">
        <v>308</v>
      </c>
      <c r="C150" s="105"/>
      <c r="D150" s="107">
        <v>56090</v>
      </c>
      <c r="E150" s="107" t="s">
        <v>353</v>
      </c>
      <c r="F150" s="108"/>
      <c r="G150" s="109"/>
      <c r="H150" s="110"/>
      <c r="I150" s="111"/>
      <c r="J150" s="112">
        <v>0</v>
      </c>
      <c r="K150" s="111"/>
      <c r="L150" s="112">
        <v>349.17</v>
      </c>
      <c r="M150" s="111"/>
      <c r="N150" s="112">
        <v>0</v>
      </c>
      <c r="O150" s="111"/>
      <c r="P150" s="112">
        <v>349.17</v>
      </c>
      <c r="Q150" s="113">
        <f t="shared" si="9"/>
        <v>1.5752178643104438E-4</v>
      </c>
      <c r="R150" s="114"/>
      <c r="S150" s="115"/>
      <c r="T150" s="105"/>
    </row>
    <row r="151" spans="1:20" outlineLevel="1">
      <c r="A151" s="105"/>
      <c r="B151" s="106" t="s">
        <v>308</v>
      </c>
      <c r="C151" s="105"/>
      <c r="D151" s="107">
        <v>56115</v>
      </c>
      <c r="E151" s="107" t="s">
        <v>354</v>
      </c>
      <c r="F151" s="108"/>
      <c r="G151" s="109"/>
      <c r="H151" s="110"/>
      <c r="I151" s="111"/>
      <c r="J151" s="112">
        <v>150</v>
      </c>
      <c r="K151" s="111"/>
      <c r="L151" s="112">
        <v>153.38</v>
      </c>
      <c r="M151" s="111"/>
      <c r="N151" s="112">
        <v>156.76</v>
      </c>
      <c r="O151" s="111"/>
      <c r="P151" s="112">
        <v>1435.14</v>
      </c>
      <c r="Q151" s="113">
        <f t="shared" si="9"/>
        <v>6.4743768530701096E-4</v>
      </c>
      <c r="R151" s="114"/>
      <c r="S151" s="115"/>
      <c r="T151" s="105"/>
    </row>
    <row r="152" spans="1:20" outlineLevel="1">
      <c r="A152" s="105"/>
      <c r="B152" s="106" t="s">
        <v>308</v>
      </c>
      <c r="C152" s="105"/>
      <c r="D152" s="107">
        <v>56142</v>
      </c>
      <c r="E152" s="107" t="s">
        <v>365</v>
      </c>
      <c r="F152" s="108"/>
      <c r="G152" s="109"/>
      <c r="H152" s="110"/>
      <c r="I152" s="111"/>
      <c r="J152" s="112">
        <v>0</v>
      </c>
      <c r="K152" s="111"/>
      <c r="L152" s="112">
        <v>47.01</v>
      </c>
      <c r="M152" s="111"/>
      <c r="N152" s="112">
        <v>0</v>
      </c>
      <c r="O152" s="111"/>
      <c r="P152" s="112">
        <v>47.01</v>
      </c>
      <c r="Q152" s="113">
        <f t="shared" si="9"/>
        <v>2.120771881926682E-5</v>
      </c>
      <c r="R152" s="114"/>
      <c r="S152" s="115"/>
      <c r="T152" s="105"/>
    </row>
    <row r="153" spans="1:20" outlineLevel="1">
      <c r="A153" s="105"/>
      <c r="B153" s="106" t="s">
        <v>308</v>
      </c>
      <c r="C153" s="105"/>
      <c r="D153" s="107">
        <v>56200</v>
      </c>
      <c r="E153" s="107" t="s">
        <v>407</v>
      </c>
      <c r="F153" s="108"/>
      <c r="G153" s="109"/>
      <c r="H153" s="110"/>
      <c r="I153" s="111"/>
      <c r="J153" s="112">
        <v>0</v>
      </c>
      <c r="K153" s="111"/>
      <c r="L153" s="112">
        <v>0</v>
      </c>
      <c r="M153" s="111"/>
      <c r="N153" s="112">
        <v>0</v>
      </c>
      <c r="O153" s="111"/>
      <c r="P153" s="112">
        <v>0</v>
      </c>
      <c r="Q153" s="113">
        <f t="shared" si="9"/>
        <v>0</v>
      </c>
      <c r="R153" s="114"/>
      <c r="S153" s="115"/>
      <c r="T153" s="105"/>
    </row>
    <row r="154" spans="1:20" outlineLevel="1">
      <c r="A154" s="105"/>
      <c r="B154" s="106" t="s">
        <v>308</v>
      </c>
      <c r="C154" s="105"/>
      <c r="D154" s="107">
        <v>56201</v>
      </c>
      <c r="E154" s="107" t="s">
        <v>538</v>
      </c>
      <c r="F154" s="108"/>
      <c r="G154" s="109"/>
      <c r="H154" s="110"/>
      <c r="I154" s="111"/>
      <c r="J154" s="112">
        <v>0</v>
      </c>
      <c r="K154" s="111"/>
      <c r="L154" s="112">
        <v>0</v>
      </c>
      <c r="M154" s="111"/>
      <c r="N154" s="112">
        <v>0</v>
      </c>
      <c r="O154" s="111"/>
      <c r="P154" s="112">
        <v>0</v>
      </c>
      <c r="Q154" s="113">
        <f t="shared" si="9"/>
        <v>0</v>
      </c>
      <c r="R154" s="114"/>
      <c r="S154" s="115"/>
      <c r="T154" s="105"/>
    </row>
    <row r="155" spans="1:20" s="65" customFormat="1" ht="5.0999999999999996" customHeight="1" outlineLevel="1">
      <c r="A155" s="140" t="s">
        <v>301</v>
      </c>
      <c r="B155" s="140" t="s">
        <v>301</v>
      </c>
      <c r="C155" s="110"/>
      <c r="D155" s="108"/>
      <c r="E155" s="108"/>
      <c r="F155" s="108"/>
      <c r="G155" s="108"/>
      <c r="H155" s="110"/>
      <c r="I155" s="110"/>
      <c r="J155" s="143"/>
      <c r="K155" s="142"/>
      <c r="L155" s="143"/>
      <c r="M155" s="142"/>
      <c r="N155" s="143"/>
      <c r="O155" s="142"/>
      <c r="P155" s="143"/>
      <c r="Q155" s="137"/>
      <c r="R155" s="120"/>
      <c r="S155" s="120"/>
      <c r="T155" s="110"/>
    </row>
    <row r="156" spans="1:20" s="65" customFormat="1">
      <c r="A156" s="140" t="s">
        <v>375</v>
      </c>
      <c r="B156" s="140" t="s">
        <v>301</v>
      </c>
      <c r="C156" s="110"/>
      <c r="D156" s="110"/>
      <c r="E156" s="110"/>
      <c r="F156" s="108" t="s">
        <v>376</v>
      </c>
      <c r="G156" s="110"/>
      <c r="H156" s="110"/>
      <c r="I156" s="110"/>
      <c r="J156" s="141">
        <f>SUM(J144:J155)</f>
        <v>10459.14</v>
      </c>
      <c r="K156" s="142"/>
      <c r="L156" s="141">
        <f>SUM(L144:L155)</f>
        <v>10622.619999999999</v>
      </c>
      <c r="M156" s="142"/>
      <c r="N156" s="141">
        <f>SUM(N144:N155)</f>
        <v>10449.290000000001</v>
      </c>
      <c r="O156" s="142"/>
      <c r="P156" s="141">
        <f>SUM(P144:P155)</f>
        <v>92062.699999999983</v>
      </c>
      <c r="Q156" s="113">
        <f>IF(P$57=0,0,P156/P$57)</f>
        <v>4.1532436829238781E-2</v>
      </c>
      <c r="R156" s="120"/>
      <c r="S156" s="120"/>
      <c r="T156" s="110"/>
    </row>
    <row r="157" spans="1:20" s="65" customFormat="1" outlineLevel="1">
      <c r="A157" s="140" t="s">
        <v>301</v>
      </c>
      <c r="B157" s="140"/>
      <c r="C157" s="110"/>
      <c r="D157" s="110"/>
      <c r="E157" s="110"/>
      <c r="F157" s="110"/>
      <c r="G157" s="110"/>
      <c r="H157" s="110"/>
      <c r="I157" s="110"/>
      <c r="J157" s="142"/>
      <c r="K157" s="142"/>
      <c r="L157" s="142"/>
      <c r="M157" s="142"/>
      <c r="N157" s="142"/>
      <c r="O157" s="142"/>
      <c r="P157" s="142"/>
      <c r="Q157" s="137"/>
      <c r="R157" s="120"/>
      <c r="S157" s="120"/>
      <c r="T157" s="110"/>
    </row>
    <row r="158" spans="1:20" s="65" customFormat="1" outlineLevel="1">
      <c r="A158" s="140" t="s">
        <v>301</v>
      </c>
      <c r="B158" s="140" t="s">
        <v>301</v>
      </c>
      <c r="C158" s="110"/>
      <c r="D158" s="110"/>
      <c r="E158" s="110"/>
      <c r="F158" s="110"/>
      <c r="G158" s="110"/>
      <c r="H158" s="110"/>
      <c r="I158" s="110"/>
      <c r="J158" s="142"/>
      <c r="K158" s="142"/>
      <c r="L158" s="142"/>
      <c r="M158" s="142"/>
      <c r="N158" s="142"/>
      <c r="O158" s="142"/>
      <c r="P158" s="142"/>
      <c r="Q158" s="137"/>
      <c r="R158" s="120"/>
      <c r="S158" s="120"/>
      <c r="T158" s="110"/>
    </row>
    <row r="159" spans="1:20" outlineLevel="1">
      <c r="A159" s="105"/>
      <c r="B159" s="106" t="s">
        <v>377</v>
      </c>
      <c r="C159" s="105"/>
      <c r="D159" s="107">
        <v>57125</v>
      </c>
      <c r="E159" s="107" t="s">
        <v>363</v>
      </c>
      <c r="F159" s="108"/>
      <c r="G159" s="109"/>
      <c r="H159" s="110"/>
      <c r="I159" s="111"/>
      <c r="J159" s="112">
        <v>0</v>
      </c>
      <c r="K159" s="111"/>
      <c r="L159" s="112">
        <v>0</v>
      </c>
      <c r="M159" s="111"/>
      <c r="N159" s="112">
        <v>0</v>
      </c>
      <c r="O159" s="111"/>
      <c r="P159" s="112">
        <v>0</v>
      </c>
      <c r="Q159" s="113">
        <f t="shared" ref="Q159:Q169" si="10">IF(P$57=0,0,P159/P$57)</f>
        <v>0</v>
      </c>
      <c r="R159" s="114"/>
      <c r="S159" s="115"/>
      <c r="T159" s="105"/>
    </row>
    <row r="160" spans="1:20" outlineLevel="1">
      <c r="A160" s="105"/>
      <c r="B160" s="106" t="s">
        <v>308</v>
      </c>
      <c r="C160" s="105"/>
      <c r="D160" s="107">
        <v>57147</v>
      </c>
      <c r="E160" s="107" t="s">
        <v>378</v>
      </c>
      <c r="F160" s="108"/>
      <c r="G160" s="109"/>
      <c r="H160" s="110"/>
      <c r="I160" s="111"/>
      <c r="J160" s="112">
        <v>69.73</v>
      </c>
      <c r="K160" s="111"/>
      <c r="L160" s="112">
        <v>107.41</v>
      </c>
      <c r="M160" s="111"/>
      <c r="N160" s="112">
        <v>134.41</v>
      </c>
      <c r="O160" s="111"/>
      <c r="P160" s="112">
        <v>1389.61</v>
      </c>
      <c r="Q160" s="113">
        <f t="shared" si="10"/>
        <v>6.2689764195791029E-4</v>
      </c>
      <c r="R160" s="114"/>
      <c r="S160" s="115"/>
      <c r="T160" s="105"/>
    </row>
    <row r="161" spans="1:20" outlineLevel="1">
      <c r="A161" s="105"/>
      <c r="B161" s="106" t="s">
        <v>308</v>
      </c>
      <c r="C161" s="105"/>
      <c r="D161" s="107">
        <v>57170</v>
      </c>
      <c r="E161" s="107" t="s">
        <v>379</v>
      </c>
      <c r="F161" s="108"/>
      <c r="G161" s="109"/>
      <c r="H161" s="110"/>
      <c r="I161" s="111"/>
      <c r="J161" s="112">
        <v>475</v>
      </c>
      <c r="K161" s="111"/>
      <c r="L161" s="112">
        <v>475</v>
      </c>
      <c r="M161" s="111"/>
      <c r="N161" s="112">
        <v>950</v>
      </c>
      <c r="O161" s="111"/>
      <c r="P161" s="112">
        <v>4750</v>
      </c>
      <c r="Q161" s="113">
        <f t="shared" si="10"/>
        <v>2.1428773535740776E-3</v>
      </c>
      <c r="R161" s="114"/>
      <c r="S161" s="115"/>
      <c r="T161" s="105"/>
    </row>
    <row r="162" spans="1:20" outlineLevel="1">
      <c r="A162" s="105"/>
      <c r="B162" s="106" t="s">
        <v>308</v>
      </c>
      <c r="C162" s="105"/>
      <c r="D162" s="107">
        <v>57254</v>
      </c>
      <c r="E162" s="107" t="s">
        <v>539</v>
      </c>
      <c r="F162" s="108"/>
      <c r="G162" s="109"/>
      <c r="H162" s="110"/>
      <c r="I162" s="111"/>
      <c r="J162" s="112">
        <v>1059.99</v>
      </c>
      <c r="K162" s="111"/>
      <c r="L162" s="112">
        <v>947.38</v>
      </c>
      <c r="M162" s="111"/>
      <c r="N162" s="112">
        <v>894.75</v>
      </c>
      <c r="O162" s="111"/>
      <c r="P162" s="112">
        <v>9029.82</v>
      </c>
      <c r="Q162" s="113">
        <f t="shared" si="10"/>
        <v>4.0736414283895324E-3</v>
      </c>
      <c r="R162" s="114"/>
      <c r="S162" s="115"/>
      <c r="T162" s="105"/>
    </row>
    <row r="163" spans="1:20" outlineLevel="1">
      <c r="A163" s="105"/>
      <c r="B163" s="106" t="s">
        <v>308</v>
      </c>
      <c r="C163" s="105"/>
      <c r="D163" s="107">
        <v>57255</v>
      </c>
      <c r="E163" s="107" t="s">
        <v>380</v>
      </c>
      <c r="F163" s="108"/>
      <c r="G163" s="109"/>
      <c r="H163" s="110"/>
      <c r="I163" s="111"/>
      <c r="J163" s="112">
        <v>110.89</v>
      </c>
      <c r="K163" s="111"/>
      <c r="L163" s="112">
        <v>1116.04</v>
      </c>
      <c r="M163" s="111"/>
      <c r="N163" s="112">
        <v>1478.39</v>
      </c>
      <c r="O163" s="111"/>
      <c r="P163" s="112">
        <v>15611.44</v>
      </c>
      <c r="Q163" s="113">
        <f t="shared" si="10"/>
        <v>7.0428213121432638E-3</v>
      </c>
      <c r="R163" s="114"/>
      <c r="S163" s="115"/>
      <c r="T163" s="105"/>
    </row>
    <row r="164" spans="1:20" outlineLevel="1">
      <c r="A164" s="105"/>
      <c r="B164" s="106" t="s">
        <v>308</v>
      </c>
      <c r="C164" s="105"/>
      <c r="D164" s="107">
        <v>57275</v>
      </c>
      <c r="E164" s="107" t="s">
        <v>381</v>
      </c>
      <c r="F164" s="108"/>
      <c r="G164" s="109"/>
      <c r="H164" s="110"/>
      <c r="I164" s="111"/>
      <c r="J164" s="112">
        <v>350.37</v>
      </c>
      <c r="K164" s="111"/>
      <c r="L164" s="112">
        <v>-753.87</v>
      </c>
      <c r="M164" s="111"/>
      <c r="N164" s="112">
        <v>212.34</v>
      </c>
      <c r="O164" s="111"/>
      <c r="P164" s="112">
        <v>1911.07</v>
      </c>
      <c r="Q164" s="113">
        <f t="shared" si="10"/>
        <v>8.6214497349364476E-4</v>
      </c>
      <c r="R164" s="114"/>
      <c r="S164" s="115"/>
      <c r="T164" s="105"/>
    </row>
    <row r="165" spans="1:20" outlineLevel="1">
      <c r="A165" s="105"/>
      <c r="B165" s="106" t="s">
        <v>308</v>
      </c>
      <c r="C165" s="105"/>
      <c r="D165" s="107">
        <v>57280</v>
      </c>
      <c r="E165" s="107" t="s">
        <v>382</v>
      </c>
      <c r="F165" s="108"/>
      <c r="G165" s="109"/>
      <c r="H165" s="110"/>
      <c r="I165" s="111"/>
      <c r="J165" s="112">
        <v>0</v>
      </c>
      <c r="K165" s="111"/>
      <c r="L165" s="112">
        <v>0</v>
      </c>
      <c r="M165" s="111"/>
      <c r="N165" s="112">
        <v>0</v>
      </c>
      <c r="O165" s="111"/>
      <c r="P165" s="112">
        <v>60.98</v>
      </c>
      <c r="Q165" s="113">
        <f t="shared" si="10"/>
        <v>2.7510033899146791E-5</v>
      </c>
      <c r="R165" s="114"/>
      <c r="S165" s="115"/>
      <c r="T165" s="105"/>
    </row>
    <row r="166" spans="1:20" outlineLevel="1">
      <c r="A166" s="105"/>
      <c r="B166" s="106" t="s">
        <v>308</v>
      </c>
      <c r="C166" s="105"/>
      <c r="D166" s="107">
        <v>57324</v>
      </c>
      <c r="E166" s="107" t="s">
        <v>540</v>
      </c>
      <c r="F166" s="108"/>
      <c r="G166" s="109"/>
      <c r="H166" s="110"/>
      <c r="I166" s="111"/>
      <c r="J166" s="112">
        <v>0</v>
      </c>
      <c r="K166" s="111"/>
      <c r="L166" s="112">
        <v>0</v>
      </c>
      <c r="M166" s="111"/>
      <c r="N166" s="112">
        <v>0</v>
      </c>
      <c r="O166" s="111"/>
      <c r="P166" s="112">
        <v>600</v>
      </c>
      <c r="Q166" s="113">
        <f t="shared" si="10"/>
        <v>2.7067924466198876E-4</v>
      </c>
      <c r="R166" s="114"/>
      <c r="S166" s="115"/>
      <c r="T166" s="105"/>
    </row>
    <row r="167" spans="1:20" outlineLevel="1">
      <c r="A167" s="105"/>
      <c r="B167" s="106" t="s">
        <v>308</v>
      </c>
      <c r="C167" s="105"/>
      <c r="D167" s="107">
        <v>57353</v>
      </c>
      <c r="E167" s="107" t="s">
        <v>541</v>
      </c>
      <c r="F167" s="108"/>
      <c r="G167" s="109"/>
      <c r="H167" s="110"/>
      <c r="I167" s="111"/>
      <c r="J167" s="112">
        <v>0</v>
      </c>
      <c r="K167" s="111"/>
      <c r="L167" s="112">
        <v>0</v>
      </c>
      <c r="M167" s="111"/>
      <c r="N167" s="112">
        <v>0</v>
      </c>
      <c r="O167" s="111"/>
      <c r="P167" s="112">
        <v>0</v>
      </c>
      <c r="Q167" s="113">
        <f t="shared" si="10"/>
        <v>0</v>
      </c>
      <c r="R167" s="114"/>
      <c r="S167" s="115"/>
      <c r="T167" s="105"/>
    </row>
    <row r="168" spans="1:20" outlineLevel="1">
      <c r="A168" s="105"/>
      <c r="B168" s="106" t="s">
        <v>308</v>
      </c>
      <c r="C168" s="105"/>
      <c r="D168" s="107">
        <v>57357</v>
      </c>
      <c r="E168" s="107" t="s">
        <v>383</v>
      </c>
      <c r="F168" s="108"/>
      <c r="G168" s="109"/>
      <c r="H168" s="110"/>
      <c r="I168" s="111"/>
      <c r="J168" s="112">
        <v>0</v>
      </c>
      <c r="K168" s="111"/>
      <c r="L168" s="112">
        <v>0</v>
      </c>
      <c r="M168" s="111"/>
      <c r="N168" s="112">
        <v>101</v>
      </c>
      <c r="O168" s="111"/>
      <c r="P168" s="112">
        <v>1247</v>
      </c>
      <c r="Q168" s="113">
        <f t="shared" si="10"/>
        <v>5.6256169682250003E-4</v>
      </c>
      <c r="R168" s="114"/>
      <c r="S168" s="115"/>
      <c r="T168" s="105"/>
    </row>
    <row r="169" spans="1:20" outlineLevel="1">
      <c r="A169" s="105"/>
      <c r="B169" s="106" t="s">
        <v>308</v>
      </c>
      <c r="C169" s="105"/>
      <c r="D169" s="107">
        <v>57370</v>
      </c>
      <c r="E169" s="107" t="s">
        <v>384</v>
      </c>
      <c r="F169" s="108"/>
      <c r="G169" s="109"/>
      <c r="H169" s="110"/>
      <c r="I169" s="111"/>
      <c r="J169" s="112">
        <v>16.07</v>
      </c>
      <c r="K169" s="111"/>
      <c r="L169" s="112">
        <v>16.07</v>
      </c>
      <c r="M169" s="111"/>
      <c r="N169" s="112">
        <v>16.07</v>
      </c>
      <c r="O169" s="111"/>
      <c r="P169" s="112">
        <v>2582.63</v>
      </c>
      <c r="Q169" s="113">
        <f t="shared" si="10"/>
        <v>1.1651072294023201E-3</v>
      </c>
      <c r="R169" s="114"/>
      <c r="S169" s="115"/>
      <c r="T169" s="105"/>
    </row>
    <row r="170" spans="1:20" s="65" customFormat="1" ht="5.0999999999999996" customHeight="1" outlineLevel="1">
      <c r="A170" s="140" t="s">
        <v>301</v>
      </c>
      <c r="B170" s="138" t="s">
        <v>301</v>
      </c>
      <c r="C170" s="110"/>
      <c r="D170" s="108"/>
      <c r="E170" s="108"/>
      <c r="F170" s="108"/>
      <c r="G170" s="108"/>
      <c r="H170" s="110"/>
      <c r="I170" s="110"/>
      <c r="J170" s="143"/>
      <c r="K170" s="142"/>
      <c r="L170" s="143"/>
      <c r="M170" s="142"/>
      <c r="N170" s="143"/>
      <c r="O170" s="142"/>
      <c r="P170" s="143"/>
      <c r="Q170" s="137"/>
      <c r="R170" s="120"/>
      <c r="S170" s="120"/>
      <c r="T170" s="110"/>
    </row>
    <row r="171" spans="1:20" s="65" customFormat="1">
      <c r="A171" s="140" t="s">
        <v>377</v>
      </c>
      <c r="B171" s="138" t="s">
        <v>301</v>
      </c>
      <c r="C171" s="110"/>
      <c r="D171" s="110"/>
      <c r="E171" s="110"/>
      <c r="F171" s="108" t="s">
        <v>385</v>
      </c>
      <c r="G171" s="110"/>
      <c r="H171" s="110"/>
      <c r="I171" s="110"/>
      <c r="J171" s="141">
        <f>SUM(J158:J170)</f>
        <v>2082.0500000000002</v>
      </c>
      <c r="K171" s="142"/>
      <c r="L171" s="141">
        <f>SUM(L158:L170)</f>
        <v>1908.03</v>
      </c>
      <c r="M171" s="142"/>
      <c r="N171" s="141">
        <f>SUM(N158:N170)</f>
        <v>3786.9600000000005</v>
      </c>
      <c r="O171" s="142"/>
      <c r="P171" s="141">
        <f>SUM(P158:P170)</f>
        <v>37182.549999999996</v>
      </c>
      <c r="Q171" s="113">
        <f>IF(P$57=0,0,P171/P$57)</f>
        <v>1.6774240914344384E-2</v>
      </c>
      <c r="R171" s="120"/>
      <c r="S171" s="120"/>
      <c r="T171" s="110"/>
    </row>
    <row r="172" spans="1:20" s="65" customFormat="1" outlineLevel="1">
      <c r="A172" s="138" t="s">
        <v>301</v>
      </c>
      <c r="B172" s="138"/>
      <c r="C172" s="110"/>
      <c r="D172" s="110"/>
      <c r="E172" s="110"/>
      <c r="F172" s="110"/>
      <c r="G172" s="110"/>
      <c r="H172" s="110"/>
      <c r="I172" s="110"/>
      <c r="J172" s="142"/>
      <c r="K172" s="142"/>
      <c r="L172" s="142"/>
      <c r="M172" s="142"/>
      <c r="N172" s="142"/>
      <c r="O172" s="142"/>
      <c r="P172" s="142"/>
      <c r="Q172" s="137"/>
      <c r="R172" s="120"/>
      <c r="S172" s="120"/>
      <c r="T172" s="110"/>
    </row>
    <row r="173" spans="1:20" s="65" customFormat="1" outlineLevel="1">
      <c r="A173" s="138" t="s">
        <v>301</v>
      </c>
      <c r="B173" s="138"/>
      <c r="C173" s="110"/>
      <c r="D173" s="151"/>
      <c r="E173" s="151"/>
      <c r="F173" s="151"/>
      <c r="G173" s="151"/>
      <c r="H173" s="151"/>
      <c r="I173" s="151"/>
      <c r="J173" s="152"/>
      <c r="K173" s="152"/>
      <c r="L173" s="152"/>
      <c r="M173" s="152"/>
      <c r="N173" s="152"/>
      <c r="O173" s="152"/>
      <c r="P173" s="152"/>
      <c r="Q173" s="153"/>
      <c r="R173" s="151"/>
      <c r="S173" s="120"/>
      <c r="T173" s="110"/>
    </row>
    <row r="174" spans="1:20" s="65" customFormat="1" ht="4.5" customHeight="1" outlineLevel="1">
      <c r="A174" s="138"/>
      <c r="B174" s="138"/>
      <c r="C174" s="110"/>
      <c r="D174" s="144"/>
      <c r="E174" s="110"/>
      <c r="F174" s="110"/>
      <c r="G174" s="110"/>
      <c r="H174" s="110"/>
      <c r="I174" s="110"/>
      <c r="J174" s="143"/>
      <c r="K174" s="142"/>
      <c r="L174" s="143"/>
      <c r="M174" s="142"/>
      <c r="N174" s="143"/>
      <c r="O174" s="142"/>
      <c r="P174" s="143"/>
      <c r="Q174" s="137"/>
      <c r="R174" s="120"/>
      <c r="S174" s="120"/>
      <c r="T174" s="110"/>
    </row>
    <row r="175" spans="1:20" s="65" customFormat="1">
      <c r="A175" s="138"/>
      <c r="B175" s="138"/>
      <c r="C175" s="110"/>
      <c r="D175" s="110"/>
      <c r="E175" s="110"/>
      <c r="F175" s="110" t="s">
        <v>386</v>
      </c>
      <c r="G175" s="110"/>
      <c r="H175" s="110"/>
      <c r="I175" s="110"/>
      <c r="J175" s="141">
        <f>SUM(J173:J174)</f>
        <v>0</v>
      </c>
      <c r="K175" s="142"/>
      <c r="L175" s="141">
        <f>SUM(L173:L174)</f>
        <v>0</v>
      </c>
      <c r="M175" s="142"/>
      <c r="N175" s="141">
        <f>SUM(N173:N174)</f>
        <v>0</v>
      </c>
      <c r="O175" s="142"/>
      <c r="P175" s="141">
        <f>SUM(P173:P174)</f>
        <v>0</v>
      </c>
      <c r="Q175" s="113">
        <f>IF(P$57=0,0,P175/P$57)</f>
        <v>0</v>
      </c>
      <c r="R175" s="120"/>
      <c r="S175" s="120"/>
      <c r="T175" s="110"/>
    </row>
    <row r="176" spans="1:20" s="65" customFormat="1" outlineLevel="1">
      <c r="A176" s="138"/>
      <c r="B176" s="138"/>
      <c r="C176" s="110"/>
      <c r="D176" s="110"/>
      <c r="E176" s="110"/>
      <c r="F176" s="110"/>
      <c r="G176" s="110"/>
      <c r="H176" s="110"/>
      <c r="I176" s="110"/>
      <c r="J176" s="142"/>
      <c r="K176" s="142"/>
      <c r="L176" s="142"/>
      <c r="M176" s="142"/>
      <c r="N176" s="142"/>
      <c r="O176" s="142"/>
      <c r="P176" s="142"/>
      <c r="Q176" s="137"/>
      <c r="R176" s="120"/>
      <c r="S176" s="120"/>
      <c r="T176" s="110"/>
    </row>
    <row r="177" spans="1:20" s="65" customFormat="1" outlineLevel="1">
      <c r="A177" s="138"/>
      <c r="B177" s="138"/>
      <c r="C177" s="110"/>
      <c r="D177" s="110"/>
      <c r="E177" s="110"/>
      <c r="F177" s="110"/>
      <c r="G177" s="110"/>
      <c r="H177" s="110"/>
      <c r="I177" s="110"/>
      <c r="J177" s="142"/>
      <c r="K177" s="142"/>
      <c r="L177" s="142"/>
      <c r="M177" s="142"/>
      <c r="N177" s="142"/>
      <c r="O177" s="142"/>
      <c r="P177" s="142"/>
      <c r="Q177" s="137"/>
      <c r="R177" s="120"/>
      <c r="S177" s="120"/>
      <c r="T177" s="110"/>
    </row>
    <row r="178" spans="1:20" outlineLevel="1">
      <c r="A178" s="105"/>
      <c r="B178" s="106" t="s">
        <v>387</v>
      </c>
      <c r="C178" s="105"/>
      <c r="D178" s="107">
        <v>59340</v>
      </c>
      <c r="E178" s="107" t="s">
        <v>388</v>
      </c>
      <c r="F178" s="108"/>
      <c r="G178" s="109"/>
      <c r="H178" s="110"/>
      <c r="I178" s="111"/>
      <c r="J178" s="112">
        <v>1818.27</v>
      </c>
      <c r="K178" s="111"/>
      <c r="L178" s="112">
        <v>1818.27</v>
      </c>
      <c r="M178" s="111"/>
      <c r="N178" s="112">
        <v>1818.27</v>
      </c>
      <c r="O178" s="111"/>
      <c r="P178" s="112">
        <v>16364.43</v>
      </c>
      <c r="Q178" s="113">
        <f t="shared" ref="Q178:Q181" si="11">IF(P$57=0,0,P178/P$57)</f>
        <v>7.3825192528733149E-3</v>
      </c>
      <c r="R178" s="114"/>
      <c r="S178" s="115"/>
      <c r="T178" s="105"/>
    </row>
    <row r="179" spans="1:20" outlineLevel="1">
      <c r="A179" s="105"/>
      <c r="B179" s="106" t="s">
        <v>308</v>
      </c>
      <c r="C179" s="105"/>
      <c r="D179" s="107">
        <v>59343</v>
      </c>
      <c r="E179" s="107" t="s">
        <v>389</v>
      </c>
      <c r="F179" s="108"/>
      <c r="G179" s="109"/>
      <c r="H179" s="110"/>
      <c r="I179" s="111"/>
      <c r="J179" s="112">
        <v>0</v>
      </c>
      <c r="K179" s="111"/>
      <c r="L179" s="112">
        <v>0</v>
      </c>
      <c r="M179" s="111"/>
      <c r="N179" s="112">
        <v>4580</v>
      </c>
      <c r="O179" s="111"/>
      <c r="P179" s="112">
        <v>4580</v>
      </c>
      <c r="Q179" s="113">
        <f t="shared" si="11"/>
        <v>2.0661849009198478E-3</v>
      </c>
      <c r="R179" s="114"/>
      <c r="S179" s="115"/>
      <c r="T179" s="105"/>
    </row>
    <row r="180" spans="1:20" outlineLevel="1">
      <c r="A180" s="105"/>
      <c r="B180" s="106" t="s">
        <v>308</v>
      </c>
      <c r="C180" s="105"/>
      <c r="D180" s="107">
        <v>59344</v>
      </c>
      <c r="E180" s="107" t="s">
        <v>390</v>
      </c>
      <c r="F180" s="108"/>
      <c r="G180" s="109"/>
      <c r="H180" s="110"/>
      <c r="I180" s="111"/>
      <c r="J180" s="112">
        <v>-27337.24</v>
      </c>
      <c r="K180" s="111"/>
      <c r="L180" s="112">
        <v>0</v>
      </c>
      <c r="M180" s="111"/>
      <c r="N180" s="112">
        <v>0</v>
      </c>
      <c r="O180" s="111"/>
      <c r="P180" s="112">
        <v>-14674.93</v>
      </c>
      <c r="Q180" s="113">
        <f t="shared" si="11"/>
        <v>-6.6203316131125982E-3</v>
      </c>
      <c r="R180" s="114"/>
      <c r="S180" s="115"/>
      <c r="T180" s="105"/>
    </row>
    <row r="181" spans="1:20" outlineLevel="1">
      <c r="A181" s="105"/>
      <c r="B181" s="106" t="s">
        <v>308</v>
      </c>
      <c r="C181" s="105"/>
      <c r="D181" s="107">
        <v>59500</v>
      </c>
      <c r="E181" s="107" t="s">
        <v>391</v>
      </c>
      <c r="F181" s="108"/>
      <c r="G181" s="109"/>
      <c r="H181" s="110"/>
      <c r="I181" s="111"/>
      <c r="J181" s="112">
        <v>115</v>
      </c>
      <c r="K181" s="111"/>
      <c r="L181" s="112">
        <v>150</v>
      </c>
      <c r="M181" s="111"/>
      <c r="N181" s="112">
        <v>220</v>
      </c>
      <c r="O181" s="111"/>
      <c r="P181" s="112">
        <v>-1795</v>
      </c>
      <c r="Q181" s="113">
        <f t="shared" si="11"/>
        <v>-8.0978207361378314E-4</v>
      </c>
      <c r="R181" s="114"/>
      <c r="S181" s="115"/>
      <c r="T181" s="105"/>
    </row>
    <row r="182" spans="1:20" s="65" customFormat="1" ht="5.0999999999999996" customHeight="1" outlineLevel="1">
      <c r="A182" s="138"/>
      <c r="B182" s="138" t="s">
        <v>301</v>
      </c>
      <c r="C182" s="110"/>
      <c r="D182" s="108"/>
      <c r="E182" s="108"/>
      <c r="F182" s="108"/>
      <c r="G182" s="108"/>
      <c r="H182" s="110"/>
      <c r="I182" s="110"/>
      <c r="J182" s="143"/>
      <c r="K182" s="142"/>
      <c r="L182" s="143"/>
      <c r="M182" s="142"/>
      <c r="N182" s="143"/>
      <c r="O182" s="142"/>
      <c r="P182" s="143"/>
      <c r="Q182" s="137"/>
      <c r="R182" s="120"/>
      <c r="S182" s="120"/>
      <c r="T182" s="110"/>
    </row>
    <row r="183" spans="1:20" s="65" customFormat="1">
      <c r="A183" s="140" t="s">
        <v>387</v>
      </c>
      <c r="B183" s="147"/>
      <c r="C183" s="110"/>
      <c r="D183" s="110"/>
      <c r="E183" s="110"/>
      <c r="F183" s="108" t="s">
        <v>392</v>
      </c>
      <c r="G183" s="110"/>
      <c r="H183" s="110"/>
      <c r="I183" s="110"/>
      <c r="J183" s="141">
        <f>SUM(J177:J182)</f>
        <v>-25403.97</v>
      </c>
      <c r="K183" s="142"/>
      <c r="L183" s="141">
        <f>SUM(L177:L182)</f>
        <v>1968.27</v>
      </c>
      <c r="M183" s="142"/>
      <c r="N183" s="141">
        <f>SUM(N177:N182)</f>
        <v>6618.27</v>
      </c>
      <c r="O183" s="142"/>
      <c r="P183" s="141">
        <f>SUM(P177:P182)</f>
        <v>4474.5</v>
      </c>
      <c r="Q183" s="113">
        <f>IF(P$57=0,0,P183/P$57)</f>
        <v>2.0185904670667813E-3</v>
      </c>
      <c r="R183" s="120"/>
      <c r="S183" s="120"/>
      <c r="T183" s="110"/>
    </row>
    <row r="184" spans="1:20" s="65" customFormat="1" outlineLevel="1">
      <c r="A184" s="138" t="s">
        <v>301</v>
      </c>
      <c r="B184" s="138" t="s">
        <v>301</v>
      </c>
      <c r="C184" s="110"/>
      <c r="D184" s="110"/>
      <c r="E184" s="110"/>
      <c r="F184" s="110"/>
      <c r="G184" s="110"/>
      <c r="H184" s="110"/>
      <c r="I184" s="110"/>
      <c r="J184" s="142"/>
      <c r="K184" s="142"/>
      <c r="L184" s="142"/>
      <c r="M184" s="142"/>
      <c r="N184" s="142"/>
      <c r="O184" s="142"/>
      <c r="P184" s="142"/>
      <c r="Q184" s="137"/>
      <c r="R184" s="120"/>
      <c r="S184" s="120"/>
      <c r="T184" s="110"/>
    </row>
    <row r="185" spans="1:20" outlineLevel="1">
      <c r="A185" s="105"/>
      <c r="B185" s="106" t="s">
        <v>393</v>
      </c>
      <c r="C185" s="105"/>
      <c r="D185" s="107">
        <v>91010</v>
      </c>
      <c r="E185" s="107" t="s">
        <v>542</v>
      </c>
      <c r="F185" s="108"/>
      <c r="G185" s="109"/>
      <c r="H185" s="110"/>
      <c r="I185" s="111"/>
      <c r="J185" s="112">
        <v>0</v>
      </c>
      <c r="K185" s="111"/>
      <c r="L185" s="112">
        <v>0</v>
      </c>
      <c r="M185" s="111"/>
      <c r="N185" s="112">
        <v>0</v>
      </c>
      <c r="O185" s="111"/>
      <c r="P185" s="112">
        <v>-4000</v>
      </c>
      <c r="Q185" s="113">
        <f>IF(P$57=0,0,P185/P$57)</f>
        <v>-1.8045282977465918E-3</v>
      </c>
      <c r="R185" s="114"/>
      <c r="S185" s="115"/>
      <c r="T185" s="105"/>
    </row>
    <row r="186" spans="1:20" s="65" customFormat="1" ht="5.0999999999999996" customHeight="1" outlineLevel="1">
      <c r="A186" s="138" t="s">
        <v>301</v>
      </c>
      <c r="B186" s="140" t="s">
        <v>301</v>
      </c>
      <c r="C186" s="110"/>
      <c r="D186" s="108"/>
      <c r="E186" s="108"/>
      <c r="F186" s="108"/>
      <c r="G186" s="108"/>
      <c r="H186" s="110"/>
      <c r="I186" s="110"/>
      <c r="J186" s="143"/>
      <c r="K186" s="142"/>
      <c r="L186" s="143"/>
      <c r="M186" s="142"/>
      <c r="N186" s="143"/>
      <c r="O186" s="142"/>
      <c r="P186" s="143"/>
      <c r="Q186" s="137"/>
      <c r="R186" s="120"/>
      <c r="S186" s="120"/>
      <c r="T186" s="110"/>
    </row>
    <row r="187" spans="1:20" s="65" customFormat="1">
      <c r="A187" s="140" t="s">
        <v>393</v>
      </c>
      <c r="B187" s="140" t="s">
        <v>301</v>
      </c>
      <c r="C187" s="110"/>
      <c r="D187" s="110"/>
      <c r="E187" s="110"/>
      <c r="F187" s="107" t="s">
        <v>394</v>
      </c>
      <c r="G187" s="110"/>
      <c r="H187" s="110"/>
      <c r="I187" s="110"/>
      <c r="J187" s="141">
        <f>SUM(J185:J186)</f>
        <v>0</v>
      </c>
      <c r="K187" s="142"/>
      <c r="L187" s="141">
        <f>SUM(L185:L186)</f>
        <v>0</v>
      </c>
      <c r="M187" s="142"/>
      <c r="N187" s="141">
        <f>SUM(N185:N186)</f>
        <v>0</v>
      </c>
      <c r="O187" s="142"/>
      <c r="P187" s="141">
        <f>SUM(P185:P186)</f>
        <v>-4000</v>
      </c>
      <c r="Q187" s="113">
        <f>IF(P$57=0,0,P187/P$57)</f>
        <v>-1.8045282977465918E-3</v>
      </c>
      <c r="R187" s="120"/>
      <c r="S187" s="120"/>
      <c r="T187" s="110"/>
    </row>
    <row r="188" spans="1:20" s="65" customFormat="1" ht="7.5" customHeight="1">
      <c r="A188" s="140" t="s">
        <v>301</v>
      </c>
      <c r="B188" s="140"/>
      <c r="C188" s="110"/>
      <c r="D188" s="110"/>
      <c r="E188" s="110"/>
      <c r="F188" s="110"/>
      <c r="G188" s="110"/>
      <c r="H188" s="110"/>
      <c r="I188" s="110"/>
      <c r="J188" s="142"/>
      <c r="K188" s="142"/>
      <c r="L188" s="142"/>
      <c r="M188" s="142"/>
      <c r="N188" s="142"/>
      <c r="O188" s="142"/>
      <c r="P188" s="142"/>
      <c r="Q188" s="137"/>
      <c r="R188" s="120"/>
      <c r="S188" s="120"/>
      <c r="T188" s="110"/>
    </row>
    <row r="189" spans="1:20" s="65" customFormat="1">
      <c r="A189" s="140" t="s">
        <v>301</v>
      </c>
      <c r="B189" s="140"/>
      <c r="C189" s="110"/>
      <c r="D189" s="110"/>
      <c r="E189" s="150" t="s">
        <v>395</v>
      </c>
      <c r="F189" s="110"/>
      <c r="G189" s="110"/>
      <c r="H189" s="110"/>
      <c r="I189" s="110"/>
      <c r="J189" s="146">
        <f>+J104+J108+J135+J142+J156+J171+J183+J175+J187</f>
        <v>82281.7</v>
      </c>
      <c r="K189" s="142"/>
      <c r="L189" s="146">
        <f>+L104+L108+L135+L142+L156+L171+L183+L175+L187</f>
        <v>96865.670000000013</v>
      </c>
      <c r="M189" s="142"/>
      <c r="N189" s="146">
        <f>+N104+N108+N135+N142+N156+N171+N183+N175+N187</f>
        <v>112426.00000000003</v>
      </c>
      <c r="O189" s="142"/>
      <c r="P189" s="146">
        <f>+P104+P108+P135+P142+P156+P171+P183+P175+P187</f>
        <v>890026.78999999992</v>
      </c>
      <c r="Q189" s="113">
        <f>IF(P$57=0,0,P189/P$57)</f>
        <v>0.40151963207689079</v>
      </c>
      <c r="R189" s="120"/>
      <c r="S189" s="120"/>
      <c r="T189" s="110"/>
    </row>
    <row r="190" spans="1:20" s="65" customFormat="1" ht="7.5" customHeight="1">
      <c r="A190" s="140"/>
      <c r="B190" s="140"/>
      <c r="C190" s="110"/>
      <c r="D190" s="110"/>
      <c r="E190" s="110"/>
      <c r="F190" s="110"/>
      <c r="G190" s="110"/>
      <c r="H190" s="110"/>
      <c r="I190" s="110"/>
      <c r="J190" s="142"/>
      <c r="K190" s="142"/>
      <c r="L190" s="142"/>
      <c r="M190" s="142"/>
      <c r="N190" s="142"/>
      <c r="O190" s="142"/>
      <c r="P190" s="142"/>
      <c r="Q190" s="137"/>
      <c r="R190" s="120"/>
      <c r="S190" s="120"/>
      <c r="T190" s="110"/>
    </row>
    <row r="191" spans="1:20" s="65" customFormat="1">
      <c r="A191" s="140"/>
      <c r="B191" s="138" t="s">
        <v>301</v>
      </c>
      <c r="C191" s="110"/>
      <c r="D191" s="110"/>
      <c r="E191" s="150" t="s">
        <v>396</v>
      </c>
      <c r="F191" s="110"/>
      <c r="G191" s="110"/>
      <c r="H191" s="110"/>
      <c r="I191" s="110"/>
      <c r="J191" s="146">
        <f>J89-J189</f>
        <v>82503.12000000001</v>
      </c>
      <c r="K191" s="142"/>
      <c r="L191" s="146">
        <f>L89-L189</f>
        <v>80351.600000000006</v>
      </c>
      <c r="M191" s="142"/>
      <c r="N191" s="146">
        <f>N89-N189</f>
        <v>52520.719999999943</v>
      </c>
      <c r="O191" s="142"/>
      <c r="P191" s="146">
        <f>P89-P189</f>
        <v>580056.22999999986</v>
      </c>
      <c r="Q191" s="113">
        <f>IF(P$57=0,0,P191/P$57)</f>
        <v>0.26168197032980134</v>
      </c>
      <c r="R191" s="120"/>
      <c r="S191" s="120"/>
      <c r="T191" s="110"/>
    </row>
    <row r="192" spans="1:20" s="65" customFormat="1" ht="7.5" customHeight="1">
      <c r="A192" s="140"/>
      <c r="B192" s="138" t="s">
        <v>301</v>
      </c>
      <c r="C192" s="110"/>
      <c r="D192" s="110"/>
      <c r="E192" s="110"/>
      <c r="F192" s="110"/>
      <c r="G192" s="110"/>
      <c r="H192" s="110"/>
      <c r="I192" s="110"/>
      <c r="J192" s="142"/>
      <c r="K192" s="142"/>
      <c r="L192" s="142"/>
      <c r="M192" s="142"/>
      <c r="N192" s="142"/>
      <c r="O192" s="142"/>
      <c r="P192" s="142"/>
      <c r="Q192" s="137"/>
      <c r="R192" s="120"/>
      <c r="S192" s="120"/>
      <c r="T192" s="110"/>
    </row>
    <row r="193" spans="1:20" s="65" customFormat="1" outlineLevel="1">
      <c r="A193" s="138" t="s">
        <v>301</v>
      </c>
      <c r="B193" s="138" t="s">
        <v>301</v>
      </c>
      <c r="C193" s="110"/>
      <c r="D193" s="110"/>
      <c r="E193" s="110"/>
      <c r="F193" s="110"/>
      <c r="G193" s="110"/>
      <c r="H193" s="110"/>
      <c r="I193" s="110"/>
      <c r="J193" s="142"/>
      <c r="K193" s="142"/>
      <c r="L193" s="142"/>
      <c r="M193" s="142"/>
      <c r="N193" s="142"/>
      <c r="O193" s="142"/>
      <c r="P193" s="142"/>
      <c r="Q193" s="137"/>
      <c r="R193" s="120"/>
      <c r="S193" s="120"/>
      <c r="T193" s="110"/>
    </row>
    <row r="194" spans="1:20" outlineLevel="1">
      <c r="A194" s="105"/>
      <c r="B194" s="106" t="s">
        <v>397</v>
      </c>
      <c r="C194" s="105"/>
      <c r="D194" s="107">
        <v>60225</v>
      </c>
      <c r="E194" s="107" t="s">
        <v>398</v>
      </c>
      <c r="F194" s="108"/>
      <c r="G194" s="109"/>
      <c r="H194" s="110"/>
      <c r="I194" s="111"/>
      <c r="J194" s="112">
        <v>0</v>
      </c>
      <c r="K194" s="111"/>
      <c r="L194" s="112">
        <v>0</v>
      </c>
      <c r="M194" s="111"/>
      <c r="N194" s="112">
        <v>0</v>
      </c>
      <c r="O194" s="111"/>
      <c r="P194" s="112">
        <v>100</v>
      </c>
      <c r="Q194" s="113">
        <f>IF(P$57=0,0,P194/P$57)</f>
        <v>4.5113207443664798E-5</v>
      </c>
      <c r="R194" s="114"/>
      <c r="S194" s="115"/>
      <c r="T194" s="105"/>
    </row>
    <row r="195" spans="1:20" s="65" customFormat="1" ht="5.0999999999999996" customHeight="1" outlineLevel="1">
      <c r="A195" s="138" t="s">
        <v>301</v>
      </c>
      <c r="B195" s="140" t="s">
        <v>301</v>
      </c>
      <c r="C195" s="110"/>
      <c r="D195" s="108"/>
      <c r="E195" s="108"/>
      <c r="F195" s="108"/>
      <c r="G195" s="108"/>
      <c r="H195" s="110"/>
      <c r="I195" s="110"/>
      <c r="J195" s="143"/>
      <c r="K195" s="142"/>
      <c r="L195" s="143"/>
      <c r="M195" s="142"/>
      <c r="N195" s="143"/>
      <c r="O195" s="142"/>
      <c r="P195" s="143"/>
      <c r="Q195" s="137"/>
      <c r="R195" s="120"/>
      <c r="S195" s="120"/>
      <c r="T195" s="110"/>
    </row>
    <row r="196" spans="1:20" s="65" customFormat="1">
      <c r="A196" s="140" t="s">
        <v>397</v>
      </c>
      <c r="B196" s="140" t="s">
        <v>301</v>
      </c>
      <c r="C196" s="110"/>
      <c r="D196" s="110"/>
      <c r="E196" s="110"/>
      <c r="F196" s="108" t="s">
        <v>399</v>
      </c>
      <c r="G196" s="110"/>
      <c r="H196" s="110"/>
      <c r="I196" s="110"/>
      <c r="J196" s="141">
        <f>SUM(J193:J195)</f>
        <v>0</v>
      </c>
      <c r="K196" s="142"/>
      <c r="L196" s="141">
        <f>SUM(L193:L195)</f>
        <v>0</v>
      </c>
      <c r="M196" s="142"/>
      <c r="N196" s="141">
        <f>SUM(N193:N195)</f>
        <v>0</v>
      </c>
      <c r="O196" s="142"/>
      <c r="P196" s="141">
        <f>SUM(P193:P195)</f>
        <v>100</v>
      </c>
      <c r="Q196" s="113">
        <f>IF(P$57=0,0,P196/P$57)</f>
        <v>4.5113207443664798E-5</v>
      </c>
      <c r="R196" s="120"/>
      <c r="S196" s="120"/>
      <c r="T196" s="110"/>
    </row>
    <row r="197" spans="1:20" s="65" customFormat="1" outlineLevel="1">
      <c r="A197" s="140" t="s">
        <v>301</v>
      </c>
      <c r="B197" s="140"/>
      <c r="C197" s="110"/>
      <c r="D197" s="110"/>
      <c r="E197" s="110"/>
      <c r="F197" s="110"/>
      <c r="G197" s="110"/>
      <c r="H197" s="110"/>
      <c r="I197" s="110"/>
      <c r="J197" s="142"/>
      <c r="K197" s="142"/>
      <c r="L197" s="142"/>
      <c r="M197" s="142"/>
      <c r="N197" s="142"/>
      <c r="O197" s="142"/>
      <c r="P197" s="142"/>
      <c r="Q197" s="137"/>
      <c r="R197" s="120"/>
      <c r="S197" s="120"/>
      <c r="T197" s="110"/>
    </row>
    <row r="198" spans="1:20" s="65" customFormat="1" outlineLevel="1">
      <c r="A198" s="140" t="s">
        <v>301</v>
      </c>
      <c r="B198" s="140" t="s">
        <v>301</v>
      </c>
      <c r="C198" s="110"/>
      <c r="D198" s="110"/>
      <c r="E198" s="110"/>
      <c r="F198" s="110"/>
      <c r="G198" s="110"/>
      <c r="H198" s="110"/>
      <c r="I198" s="110"/>
      <c r="J198" s="142"/>
      <c r="K198" s="142"/>
      <c r="L198" s="142"/>
      <c r="M198" s="142"/>
      <c r="N198" s="142"/>
      <c r="O198" s="142"/>
      <c r="P198" s="142"/>
      <c r="Q198" s="137"/>
      <c r="R198" s="120"/>
      <c r="S198" s="120"/>
      <c r="T198" s="110"/>
    </row>
    <row r="199" spans="1:20" outlineLevel="1">
      <c r="A199" s="105"/>
      <c r="B199" s="106" t="s">
        <v>400</v>
      </c>
      <c r="C199" s="105"/>
      <c r="D199" s="107">
        <v>70010</v>
      </c>
      <c r="E199" s="107" t="s">
        <v>360</v>
      </c>
      <c r="F199" s="108"/>
      <c r="G199" s="109"/>
      <c r="H199" s="110"/>
      <c r="I199" s="111"/>
      <c r="J199" s="112">
        <v>4082.86</v>
      </c>
      <c r="K199" s="111"/>
      <c r="L199" s="112">
        <v>3895.65</v>
      </c>
      <c r="M199" s="111"/>
      <c r="N199" s="112">
        <v>4012.74</v>
      </c>
      <c r="O199" s="111"/>
      <c r="P199" s="112">
        <v>35326.870000000003</v>
      </c>
      <c r="Q199" s="113">
        <f t="shared" ref="Q199:Q240" si="12">IF(P$57=0,0,P199/P$57)</f>
        <v>1.5937084146453787E-2</v>
      </c>
      <c r="R199" s="114"/>
      <c r="S199" s="115"/>
      <c r="T199" s="105"/>
    </row>
    <row r="200" spans="1:20" outlineLevel="1">
      <c r="A200" s="105"/>
      <c r="B200" s="106" t="s">
        <v>308</v>
      </c>
      <c r="C200" s="105"/>
      <c r="D200" s="107">
        <v>70020</v>
      </c>
      <c r="E200" s="107" t="s">
        <v>345</v>
      </c>
      <c r="F200" s="108"/>
      <c r="G200" s="109"/>
      <c r="H200" s="110"/>
      <c r="I200" s="111"/>
      <c r="J200" s="112">
        <v>5149.13</v>
      </c>
      <c r="K200" s="111"/>
      <c r="L200" s="112">
        <v>4867.47</v>
      </c>
      <c r="M200" s="111"/>
      <c r="N200" s="112">
        <v>5123.3900000000003</v>
      </c>
      <c r="O200" s="111"/>
      <c r="P200" s="112">
        <v>43207.23</v>
      </c>
      <c r="Q200" s="113">
        <f t="shared" si="12"/>
        <v>1.9492167300561372E-2</v>
      </c>
      <c r="R200" s="114"/>
      <c r="S200" s="115"/>
      <c r="T200" s="105"/>
    </row>
    <row r="201" spans="1:20" outlineLevel="1">
      <c r="A201" s="105"/>
      <c r="B201" s="106" t="s">
        <v>308</v>
      </c>
      <c r="C201" s="105"/>
      <c r="D201" s="107">
        <v>70025</v>
      </c>
      <c r="E201" s="107" t="s">
        <v>346</v>
      </c>
      <c r="F201" s="108"/>
      <c r="G201" s="109"/>
      <c r="H201" s="110"/>
      <c r="I201" s="111"/>
      <c r="J201" s="112">
        <v>158.37</v>
      </c>
      <c r="K201" s="111"/>
      <c r="L201" s="112">
        <v>54.62</v>
      </c>
      <c r="M201" s="111"/>
      <c r="N201" s="112">
        <v>13.82</v>
      </c>
      <c r="O201" s="111"/>
      <c r="P201" s="112">
        <v>372.1</v>
      </c>
      <c r="Q201" s="113">
        <f t="shared" si="12"/>
        <v>1.6786624489787671E-4</v>
      </c>
      <c r="R201" s="114"/>
      <c r="S201" s="115"/>
      <c r="T201" s="105"/>
    </row>
    <row r="202" spans="1:20" outlineLevel="1">
      <c r="A202" s="105"/>
      <c r="B202" s="106" t="s">
        <v>308</v>
      </c>
      <c r="C202" s="105"/>
      <c r="D202" s="107">
        <v>70036</v>
      </c>
      <c r="E202" s="107" t="s">
        <v>401</v>
      </c>
      <c r="F202" s="108"/>
      <c r="G202" s="109"/>
      <c r="H202" s="110"/>
      <c r="I202" s="111"/>
      <c r="J202" s="112">
        <v>100</v>
      </c>
      <c r="K202" s="111"/>
      <c r="L202" s="112">
        <v>1313.5</v>
      </c>
      <c r="M202" s="111"/>
      <c r="N202" s="112">
        <v>1313.5</v>
      </c>
      <c r="O202" s="111"/>
      <c r="P202" s="112">
        <v>8646.5</v>
      </c>
      <c r="Q202" s="113">
        <f t="shared" si="12"/>
        <v>3.9007134816164768E-3</v>
      </c>
      <c r="R202" s="114"/>
      <c r="S202" s="115"/>
      <c r="T202" s="105"/>
    </row>
    <row r="203" spans="1:20" outlineLevel="1">
      <c r="A203" s="105"/>
      <c r="B203" s="106" t="s">
        <v>308</v>
      </c>
      <c r="C203" s="105"/>
      <c r="D203" s="107">
        <v>70050</v>
      </c>
      <c r="E203" s="107" t="s">
        <v>348</v>
      </c>
      <c r="F203" s="108"/>
      <c r="G203" s="109"/>
      <c r="H203" s="110"/>
      <c r="I203" s="111"/>
      <c r="J203" s="112">
        <v>681.05</v>
      </c>
      <c r="K203" s="111"/>
      <c r="L203" s="112">
        <v>695.25</v>
      </c>
      <c r="M203" s="111"/>
      <c r="N203" s="112">
        <v>731.23</v>
      </c>
      <c r="O203" s="111"/>
      <c r="P203" s="112">
        <v>6471.96</v>
      </c>
      <c r="Q203" s="113">
        <f t="shared" si="12"/>
        <v>2.9197087404710083E-3</v>
      </c>
      <c r="R203" s="114"/>
      <c r="S203" s="115"/>
      <c r="T203" s="105"/>
    </row>
    <row r="204" spans="1:20" outlineLevel="1">
      <c r="A204" s="105"/>
      <c r="B204" s="106" t="s">
        <v>308</v>
      </c>
      <c r="C204" s="105"/>
      <c r="D204" s="107">
        <v>70060</v>
      </c>
      <c r="E204" s="107" t="s">
        <v>349</v>
      </c>
      <c r="F204" s="108"/>
      <c r="G204" s="109"/>
      <c r="H204" s="110"/>
      <c r="I204" s="111"/>
      <c r="J204" s="112">
        <v>2153.73</v>
      </c>
      <c r="K204" s="111"/>
      <c r="L204" s="112">
        <v>2142.2399999999998</v>
      </c>
      <c r="M204" s="111"/>
      <c r="N204" s="112">
        <v>2153.61</v>
      </c>
      <c r="O204" s="111"/>
      <c r="P204" s="112">
        <v>19241.400000000001</v>
      </c>
      <c r="Q204" s="113">
        <f t="shared" si="12"/>
        <v>8.6804126970653189E-3</v>
      </c>
      <c r="R204" s="114"/>
      <c r="S204" s="115"/>
      <c r="T204" s="105"/>
    </row>
    <row r="205" spans="1:20" outlineLevel="1">
      <c r="A205" s="105"/>
      <c r="B205" s="106" t="s">
        <v>308</v>
      </c>
      <c r="C205" s="105"/>
      <c r="D205" s="107">
        <v>70065</v>
      </c>
      <c r="E205" s="107" t="s">
        <v>350</v>
      </c>
      <c r="F205" s="108"/>
      <c r="G205" s="109"/>
      <c r="H205" s="110"/>
      <c r="I205" s="111"/>
      <c r="J205" s="112">
        <v>276.07</v>
      </c>
      <c r="K205" s="111"/>
      <c r="L205" s="112">
        <v>321.13</v>
      </c>
      <c r="M205" s="111"/>
      <c r="N205" s="112">
        <v>232.33</v>
      </c>
      <c r="O205" s="111"/>
      <c r="P205" s="112">
        <v>2986.11</v>
      </c>
      <c r="Q205" s="113">
        <f t="shared" si="12"/>
        <v>1.3471299987960188E-3</v>
      </c>
      <c r="R205" s="114"/>
      <c r="S205" s="115"/>
      <c r="T205" s="105"/>
    </row>
    <row r="206" spans="1:20" outlineLevel="1">
      <c r="A206" s="105"/>
      <c r="B206" s="106" t="s">
        <v>308</v>
      </c>
      <c r="C206" s="105"/>
      <c r="D206" s="107">
        <v>70070</v>
      </c>
      <c r="E206" s="107" t="s">
        <v>351</v>
      </c>
      <c r="F206" s="108"/>
      <c r="G206" s="109"/>
      <c r="H206" s="110"/>
      <c r="I206" s="111"/>
      <c r="J206" s="112">
        <v>1.17</v>
      </c>
      <c r="K206" s="111"/>
      <c r="L206" s="112">
        <v>1.17</v>
      </c>
      <c r="M206" s="111"/>
      <c r="N206" s="112">
        <v>134.03</v>
      </c>
      <c r="O206" s="111"/>
      <c r="P206" s="112">
        <v>909.15</v>
      </c>
      <c r="Q206" s="113">
        <f t="shared" si="12"/>
        <v>4.101467254740785E-4</v>
      </c>
      <c r="R206" s="114"/>
      <c r="S206" s="115"/>
      <c r="T206" s="105"/>
    </row>
    <row r="207" spans="1:20" outlineLevel="1">
      <c r="A207" s="105"/>
      <c r="B207" s="106" t="s">
        <v>308</v>
      </c>
      <c r="C207" s="105"/>
      <c r="D207" s="107">
        <v>70086</v>
      </c>
      <c r="E207" s="107" t="s">
        <v>352</v>
      </c>
      <c r="F207" s="108"/>
      <c r="G207" s="109"/>
      <c r="H207" s="110"/>
      <c r="I207" s="111"/>
      <c r="J207" s="112">
        <v>0</v>
      </c>
      <c r="K207" s="111"/>
      <c r="L207" s="112">
        <v>53.9</v>
      </c>
      <c r="M207" s="111"/>
      <c r="N207" s="112">
        <v>15</v>
      </c>
      <c r="O207" s="111"/>
      <c r="P207" s="112">
        <v>255.38</v>
      </c>
      <c r="Q207" s="113">
        <f t="shared" si="12"/>
        <v>1.1521010916963116E-4</v>
      </c>
      <c r="R207" s="114"/>
      <c r="S207" s="115"/>
      <c r="T207" s="105"/>
    </row>
    <row r="208" spans="1:20" outlineLevel="1">
      <c r="A208" s="105"/>
      <c r="B208" s="106" t="s">
        <v>308</v>
      </c>
      <c r="C208" s="105"/>
      <c r="D208" s="107">
        <v>70095</v>
      </c>
      <c r="E208" s="107" t="s">
        <v>402</v>
      </c>
      <c r="F208" s="108"/>
      <c r="G208" s="109"/>
      <c r="H208" s="110"/>
      <c r="I208" s="111"/>
      <c r="J208" s="112">
        <v>911.97</v>
      </c>
      <c r="K208" s="111"/>
      <c r="L208" s="112">
        <v>-530.09</v>
      </c>
      <c r="M208" s="111"/>
      <c r="N208" s="112">
        <v>6</v>
      </c>
      <c r="O208" s="111"/>
      <c r="P208" s="112">
        <v>2047.51</v>
      </c>
      <c r="Q208" s="113">
        <f t="shared" si="12"/>
        <v>9.2369743372978106E-4</v>
      </c>
      <c r="R208" s="114"/>
      <c r="S208" s="115"/>
      <c r="T208" s="105"/>
    </row>
    <row r="209" spans="1:20" outlineLevel="1">
      <c r="A209" s="105"/>
      <c r="B209" s="106" t="s">
        <v>308</v>
      </c>
      <c r="C209" s="105"/>
      <c r="D209" s="107">
        <v>70105</v>
      </c>
      <c r="E209" s="107" t="s">
        <v>543</v>
      </c>
      <c r="F209" s="108"/>
      <c r="G209" s="109"/>
      <c r="H209" s="110"/>
      <c r="I209" s="111"/>
      <c r="J209" s="112">
        <v>206.22</v>
      </c>
      <c r="K209" s="111"/>
      <c r="L209" s="112">
        <v>206.22</v>
      </c>
      <c r="M209" s="111"/>
      <c r="N209" s="112">
        <v>206.22</v>
      </c>
      <c r="O209" s="111"/>
      <c r="P209" s="112">
        <v>1855.98</v>
      </c>
      <c r="Q209" s="113">
        <f t="shared" si="12"/>
        <v>8.3729210751292988E-4</v>
      </c>
      <c r="R209" s="114"/>
      <c r="S209" s="115"/>
      <c r="T209" s="105"/>
    </row>
    <row r="210" spans="1:20" outlineLevel="1">
      <c r="A210" s="105"/>
      <c r="B210" s="106" t="s">
        <v>308</v>
      </c>
      <c r="C210" s="105"/>
      <c r="D210" s="107">
        <v>70110</v>
      </c>
      <c r="E210" s="107" t="s">
        <v>544</v>
      </c>
      <c r="F210" s="108"/>
      <c r="G210" s="109"/>
      <c r="H210" s="110"/>
      <c r="I210" s="111"/>
      <c r="J210" s="112">
        <v>250</v>
      </c>
      <c r="K210" s="111"/>
      <c r="L210" s="112">
        <v>0</v>
      </c>
      <c r="M210" s="111"/>
      <c r="N210" s="112">
        <v>60</v>
      </c>
      <c r="O210" s="111"/>
      <c r="P210" s="112">
        <v>310</v>
      </c>
      <c r="Q210" s="113">
        <f t="shared" si="12"/>
        <v>1.3985094307536087E-4</v>
      </c>
      <c r="R210" s="114"/>
      <c r="S210" s="115"/>
      <c r="T210" s="105"/>
    </row>
    <row r="211" spans="1:20" outlineLevel="1">
      <c r="A211" s="105"/>
      <c r="B211" s="106" t="s">
        <v>308</v>
      </c>
      <c r="C211" s="105"/>
      <c r="D211" s="107">
        <v>70116</v>
      </c>
      <c r="E211" s="107" t="s">
        <v>354</v>
      </c>
      <c r="F211" s="108"/>
      <c r="G211" s="109"/>
      <c r="H211" s="110"/>
      <c r="I211" s="111"/>
      <c r="J211" s="112">
        <v>161.05000000000001</v>
      </c>
      <c r="K211" s="111"/>
      <c r="L211" s="112">
        <v>185.75</v>
      </c>
      <c r="M211" s="111"/>
      <c r="N211" s="112">
        <v>189.58</v>
      </c>
      <c r="O211" s="111"/>
      <c r="P211" s="112">
        <v>1727.86</v>
      </c>
      <c r="Q211" s="113">
        <f t="shared" si="12"/>
        <v>7.7949306613610649E-4</v>
      </c>
      <c r="R211" s="114"/>
      <c r="S211" s="115"/>
      <c r="T211" s="105"/>
    </row>
    <row r="212" spans="1:20" outlineLevel="1">
      <c r="A212" s="105"/>
      <c r="B212" s="106" t="s">
        <v>308</v>
      </c>
      <c r="C212" s="105"/>
      <c r="D212" s="107">
        <v>70147</v>
      </c>
      <c r="E212" s="107" t="s">
        <v>545</v>
      </c>
      <c r="F212" s="108"/>
      <c r="G212" s="109"/>
      <c r="H212" s="110"/>
      <c r="I212" s="111"/>
      <c r="J212" s="112">
        <v>251.44</v>
      </c>
      <c r="K212" s="111"/>
      <c r="L212" s="112">
        <v>193</v>
      </c>
      <c r="M212" s="111"/>
      <c r="N212" s="112">
        <v>88.48</v>
      </c>
      <c r="O212" s="111"/>
      <c r="P212" s="112">
        <v>13789.72</v>
      </c>
      <c r="Q212" s="113">
        <f t="shared" si="12"/>
        <v>6.2209849895005333E-3</v>
      </c>
      <c r="R212" s="114"/>
      <c r="S212" s="115"/>
      <c r="T212" s="105"/>
    </row>
    <row r="213" spans="1:20" outlineLevel="1">
      <c r="A213" s="105"/>
      <c r="B213" s="106" t="s">
        <v>308</v>
      </c>
      <c r="C213" s="105"/>
      <c r="D213" s="107">
        <v>70148</v>
      </c>
      <c r="E213" s="107" t="s">
        <v>373</v>
      </c>
      <c r="F213" s="108"/>
      <c r="G213" s="109"/>
      <c r="H213" s="110"/>
      <c r="I213" s="111"/>
      <c r="J213" s="112">
        <v>3195.5</v>
      </c>
      <c r="K213" s="111"/>
      <c r="L213" s="112">
        <v>1409.11</v>
      </c>
      <c r="M213" s="111"/>
      <c r="N213" s="112">
        <v>619.4</v>
      </c>
      <c r="O213" s="111"/>
      <c r="P213" s="112">
        <v>13463.96</v>
      </c>
      <c r="Q213" s="113">
        <f t="shared" si="12"/>
        <v>6.0740242049320504E-3</v>
      </c>
      <c r="R213" s="114"/>
      <c r="S213" s="115"/>
      <c r="T213" s="105"/>
    </row>
    <row r="214" spans="1:20" outlineLevel="1">
      <c r="A214" s="105"/>
      <c r="B214" s="106" t="s">
        <v>308</v>
      </c>
      <c r="C214" s="105"/>
      <c r="D214" s="107">
        <v>70150</v>
      </c>
      <c r="E214" s="107" t="s">
        <v>368</v>
      </c>
      <c r="F214" s="108"/>
      <c r="G214" s="109"/>
      <c r="H214" s="110"/>
      <c r="I214" s="111"/>
      <c r="J214" s="112">
        <v>416.44</v>
      </c>
      <c r="K214" s="111"/>
      <c r="L214" s="112">
        <v>452</v>
      </c>
      <c r="M214" s="111"/>
      <c r="N214" s="112">
        <v>1483.91</v>
      </c>
      <c r="O214" s="111"/>
      <c r="P214" s="112">
        <v>13566.07</v>
      </c>
      <c r="Q214" s="113">
        <f t="shared" si="12"/>
        <v>6.1200893010527769E-3</v>
      </c>
      <c r="R214" s="114"/>
      <c r="S214" s="115"/>
      <c r="T214" s="105"/>
    </row>
    <row r="215" spans="1:20" outlineLevel="1">
      <c r="A215" s="105"/>
      <c r="B215" s="106" t="s">
        <v>308</v>
      </c>
      <c r="C215" s="105"/>
      <c r="D215" s="107">
        <v>70165</v>
      </c>
      <c r="E215" s="107" t="s">
        <v>369</v>
      </c>
      <c r="F215" s="108"/>
      <c r="G215" s="109"/>
      <c r="H215" s="110"/>
      <c r="I215" s="111"/>
      <c r="J215" s="112">
        <v>1025.51</v>
      </c>
      <c r="K215" s="111"/>
      <c r="L215" s="112">
        <v>1027.8</v>
      </c>
      <c r="M215" s="111"/>
      <c r="N215" s="112">
        <v>995.93</v>
      </c>
      <c r="O215" s="111"/>
      <c r="P215" s="112">
        <v>9437.09</v>
      </c>
      <c r="Q215" s="113">
        <f t="shared" si="12"/>
        <v>4.2573739883453466E-3</v>
      </c>
      <c r="R215" s="114"/>
      <c r="S215" s="115"/>
      <c r="T215" s="105"/>
    </row>
    <row r="216" spans="1:20" outlineLevel="1">
      <c r="A216" s="105"/>
      <c r="B216" s="106" t="s">
        <v>308</v>
      </c>
      <c r="C216" s="105"/>
      <c r="D216" s="107">
        <v>70167</v>
      </c>
      <c r="E216" s="107" t="s">
        <v>403</v>
      </c>
      <c r="F216" s="108"/>
      <c r="G216" s="109"/>
      <c r="H216" s="110"/>
      <c r="I216" s="111"/>
      <c r="J216" s="112">
        <v>90.07</v>
      </c>
      <c r="K216" s="111"/>
      <c r="L216" s="112">
        <v>25.72</v>
      </c>
      <c r="M216" s="111"/>
      <c r="N216" s="112">
        <v>57.39</v>
      </c>
      <c r="O216" s="111"/>
      <c r="P216" s="112">
        <v>1127.3599999999999</v>
      </c>
      <c r="Q216" s="113">
        <f t="shared" si="12"/>
        <v>5.0858825543689942E-4</v>
      </c>
      <c r="R216" s="114"/>
      <c r="S216" s="115"/>
      <c r="T216" s="105"/>
    </row>
    <row r="217" spans="1:20" outlineLevel="1">
      <c r="A217" s="105"/>
      <c r="B217" s="106" t="s">
        <v>308</v>
      </c>
      <c r="C217" s="105"/>
      <c r="D217" s="107">
        <v>70175</v>
      </c>
      <c r="E217" s="107" t="s">
        <v>404</v>
      </c>
      <c r="F217" s="108"/>
      <c r="G217" s="109"/>
      <c r="H217" s="110"/>
      <c r="I217" s="111"/>
      <c r="J217" s="112">
        <v>61.07</v>
      </c>
      <c r="K217" s="111"/>
      <c r="L217" s="112">
        <v>706.9</v>
      </c>
      <c r="M217" s="111"/>
      <c r="N217" s="112">
        <v>88.67</v>
      </c>
      <c r="O217" s="111"/>
      <c r="P217" s="112">
        <v>1412.62</v>
      </c>
      <c r="Q217" s="113">
        <f t="shared" si="12"/>
        <v>6.3727819099069756E-4</v>
      </c>
      <c r="R217" s="114"/>
      <c r="S217" s="115"/>
      <c r="T217" s="105"/>
    </row>
    <row r="218" spans="1:20" outlineLevel="1">
      <c r="A218" s="105"/>
      <c r="B218" s="106" t="s">
        <v>308</v>
      </c>
      <c r="C218" s="105"/>
      <c r="D218" s="107">
        <v>70185</v>
      </c>
      <c r="E218" s="107" t="s">
        <v>405</v>
      </c>
      <c r="F218" s="108"/>
      <c r="G218" s="109"/>
      <c r="H218" s="110"/>
      <c r="I218" s="111"/>
      <c r="J218" s="112">
        <v>53.89</v>
      </c>
      <c r="K218" s="111"/>
      <c r="L218" s="112">
        <v>90.28</v>
      </c>
      <c r="M218" s="111"/>
      <c r="N218" s="112">
        <v>150</v>
      </c>
      <c r="O218" s="111"/>
      <c r="P218" s="112">
        <v>409.12</v>
      </c>
      <c r="Q218" s="113">
        <f t="shared" si="12"/>
        <v>1.8456715429352141E-4</v>
      </c>
      <c r="R218" s="114"/>
      <c r="S218" s="115"/>
      <c r="T218" s="105"/>
    </row>
    <row r="219" spans="1:20" outlineLevel="1">
      <c r="A219" s="105"/>
      <c r="B219" s="106" t="s">
        <v>308</v>
      </c>
      <c r="C219" s="105"/>
      <c r="D219" s="107">
        <v>70195</v>
      </c>
      <c r="E219" s="107" t="s">
        <v>406</v>
      </c>
      <c r="F219" s="108"/>
      <c r="G219" s="109"/>
      <c r="H219" s="110"/>
      <c r="I219" s="111"/>
      <c r="J219" s="112">
        <v>180.47</v>
      </c>
      <c r="K219" s="111"/>
      <c r="L219" s="112">
        <v>105.94</v>
      </c>
      <c r="M219" s="111"/>
      <c r="N219" s="112">
        <v>225</v>
      </c>
      <c r="O219" s="111"/>
      <c r="P219" s="112">
        <v>1594.23</v>
      </c>
      <c r="Q219" s="113">
        <f t="shared" si="12"/>
        <v>7.1920828702913726E-4</v>
      </c>
      <c r="R219" s="114"/>
      <c r="S219" s="115"/>
      <c r="T219" s="105"/>
    </row>
    <row r="220" spans="1:20" outlineLevel="1">
      <c r="A220" s="105"/>
      <c r="B220" s="106" t="s">
        <v>308</v>
      </c>
      <c r="C220" s="105"/>
      <c r="D220" s="107">
        <v>70200</v>
      </c>
      <c r="E220" s="107" t="s">
        <v>407</v>
      </c>
      <c r="F220" s="108"/>
      <c r="G220" s="109"/>
      <c r="H220" s="110"/>
      <c r="I220" s="111"/>
      <c r="J220" s="112">
        <v>0</v>
      </c>
      <c r="K220" s="111"/>
      <c r="L220" s="112">
        <v>170.2</v>
      </c>
      <c r="M220" s="111"/>
      <c r="N220" s="112">
        <v>25</v>
      </c>
      <c r="O220" s="111"/>
      <c r="P220" s="112">
        <v>1681.23</v>
      </c>
      <c r="Q220" s="113">
        <f t="shared" si="12"/>
        <v>7.5845677750512562E-4</v>
      </c>
      <c r="R220" s="114"/>
      <c r="S220" s="115"/>
      <c r="T220" s="105"/>
    </row>
    <row r="221" spans="1:20" outlineLevel="1">
      <c r="A221" s="105"/>
      <c r="B221" s="106" t="s">
        <v>308</v>
      </c>
      <c r="C221" s="105"/>
      <c r="D221" s="107">
        <v>70201</v>
      </c>
      <c r="E221" s="107" t="s">
        <v>408</v>
      </c>
      <c r="F221" s="108"/>
      <c r="G221" s="109"/>
      <c r="H221" s="110"/>
      <c r="I221" s="111"/>
      <c r="J221" s="112">
        <v>29</v>
      </c>
      <c r="K221" s="111"/>
      <c r="L221" s="112">
        <v>10.34</v>
      </c>
      <c r="M221" s="111"/>
      <c r="N221" s="112">
        <v>100.3</v>
      </c>
      <c r="O221" s="111"/>
      <c r="P221" s="112">
        <v>400.59</v>
      </c>
      <c r="Q221" s="113">
        <f t="shared" si="12"/>
        <v>1.8071899769857679E-4</v>
      </c>
      <c r="R221" s="114"/>
      <c r="S221" s="115"/>
      <c r="T221" s="105"/>
    </row>
    <row r="222" spans="1:20" outlineLevel="1">
      <c r="A222" s="105"/>
      <c r="B222" s="106" t="s">
        <v>308</v>
      </c>
      <c r="C222" s="105"/>
      <c r="D222" s="107">
        <v>70202</v>
      </c>
      <c r="E222" s="107" t="s">
        <v>546</v>
      </c>
      <c r="F222" s="108"/>
      <c r="G222" s="109"/>
      <c r="H222" s="110"/>
      <c r="I222" s="111"/>
      <c r="J222" s="112">
        <v>0</v>
      </c>
      <c r="K222" s="111"/>
      <c r="L222" s="112">
        <v>469.2</v>
      </c>
      <c r="M222" s="111"/>
      <c r="N222" s="112">
        <v>0</v>
      </c>
      <c r="O222" s="111"/>
      <c r="P222" s="112">
        <v>1321.69</v>
      </c>
      <c r="Q222" s="113">
        <f t="shared" si="12"/>
        <v>5.9625675146217328E-4</v>
      </c>
      <c r="R222" s="114"/>
      <c r="S222" s="115"/>
      <c r="T222" s="105"/>
    </row>
    <row r="223" spans="1:20" outlineLevel="1">
      <c r="A223" s="105"/>
      <c r="B223" s="106" t="s">
        <v>308</v>
      </c>
      <c r="C223" s="105"/>
      <c r="D223" s="107">
        <v>70203</v>
      </c>
      <c r="E223" s="107" t="s">
        <v>409</v>
      </c>
      <c r="F223" s="108"/>
      <c r="G223" s="109"/>
      <c r="H223" s="110"/>
      <c r="I223" s="111"/>
      <c r="J223" s="112">
        <v>0</v>
      </c>
      <c r="K223" s="111"/>
      <c r="L223" s="112">
        <v>592.13</v>
      </c>
      <c r="M223" s="111"/>
      <c r="N223" s="112">
        <v>403.16</v>
      </c>
      <c r="O223" s="111"/>
      <c r="P223" s="112">
        <v>2793.48</v>
      </c>
      <c r="Q223" s="113">
        <f t="shared" si="12"/>
        <v>1.2602284272972874E-3</v>
      </c>
      <c r="R223" s="114"/>
      <c r="S223" s="115"/>
      <c r="T223" s="105"/>
    </row>
    <row r="224" spans="1:20" outlineLevel="1">
      <c r="A224" s="105"/>
      <c r="B224" s="106" t="s">
        <v>308</v>
      </c>
      <c r="C224" s="105"/>
      <c r="D224" s="107">
        <v>70205</v>
      </c>
      <c r="E224" s="107" t="s">
        <v>410</v>
      </c>
      <c r="F224" s="108"/>
      <c r="G224" s="109"/>
      <c r="H224" s="110"/>
      <c r="I224" s="111"/>
      <c r="J224" s="112">
        <v>200.1</v>
      </c>
      <c r="K224" s="111"/>
      <c r="L224" s="112">
        <v>499.56</v>
      </c>
      <c r="M224" s="111"/>
      <c r="N224" s="112">
        <v>613.19000000000005</v>
      </c>
      <c r="O224" s="111"/>
      <c r="P224" s="112">
        <v>3100.91</v>
      </c>
      <c r="Q224" s="113">
        <f t="shared" si="12"/>
        <v>1.398919960941346E-3</v>
      </c>
      <c r="R224" s="114"/>
      <c r="S224" s="115"/>
      <c r="T224" s="105"/>
    </row>
    <row r="225" spans="1:20" outlineLevel="1">
      <c r="A225" s="105"/>
      <c r="B225" s="106" t="s">
        <v>308</v>
      </c>
      <c r="C225" s="105"/>
      <c r="D225" s="107">
        <v>70206</v>
      </c>
      <c r="E225" s="107" t="s">
        <v>411</v>
      </c>
      <c r="F225" s="108"/>
      <c r="G225" s="109"/>
      <c r="H225" s="110"/>
      <c r="I225" s="111"/>
      <c r="J225" s="112">
        <v>-78.97</v>
      </c>
      <c r="K225" s="111"/>
      <c r="L225" s="112">
        <v>560</v>
      </c>
      <c r="M225" s="111"/>
      <c r="N225" s="112">
        <v>187.48</v>
      </c>
      <c r="O225" s="111"/>
      <c r="P225" s="112">
        <v>937.03</v>
      </c>
      <c r="Q225" s="113">
        <f t="shared" si="12"/>
        <v>4.2272428770937225E-4</v>
      </c>
      <c r="R225" s="114"/>
      <c r="S225" s="115"/>
      <c r="T225" s="105"/>
    </row>
    <row r="226" spans="1:20" outlineLevel="1">
      <c r="A226" s="105"/>
      <c r="B226" s="106" t="s">
        <v>308</v>
      </c>
      <c r="C226" s="105"/>
      <c r="D226" s="107">
        <v>70210</v>
      </c>
      <c r="E226" s="107" t="s">
        <v>412</v>
      </c>
      <c r="F226" s="108"/>
      <c r="G226" s="109"/>
      <c r="H226" s="110"/>
      <c r="I226" s="111"/>
      <c r="J226" s="112">
        <v>360.43</v>
      </c>
      <c r="K226" s="111"/>
      <c r="L226" s="112">
        <v>-1006.02</v>
      </c>
      <c r="M226" s="111"/>
      <c r="N226" s="112">
        <v>698.72</v>
      </c>
      <c r="O226" s="111"/>
      <c r="P226" s="112">
        <v>4757.87</v>
      </c>
      <c r="Q226" s="113">
        <f t="shared" si="12"/>
        <v>2.1464277629998944E-3</v>
      </c>
      <c r="R226" s="114"/>
      <c r="S226" s="115"/>
      <c r="T226" s="105"/>
    </row>
    <row r="227" spans="1:20" outlineLevel="1">
      <c r="A227" s="105"/>
      <c r="B227" s="106" t="s">
        <v>308</v>
      </c>
      <c r="C227" s="105"/>
      <c r="D227" s="107">
        <v>70214</v>
      </c>
      <c r="E227" s="107" t="s">
        <v>413</v>
      </c>
      <c r="F227" s="108"/>
      <c r="G227" s="109"/>
      <c r="H227" s="110"/>
      <c r="I227" s="111"/>
      <c r="J227" s="112">
        <v>297.89999999999998</v>
      </c>
      <c r="K227" s="111"/>
      <c r="L227" s="112">
        <v>458.78</v>
      </c>
      <c r="M227" s="111"/>
      <c r="N227" s="112">
        <v>388.4</v>
      </c>
      <c r="O227" s="111"/>
      <c r="P227" s="112">
        <v>3441.94</v>
      </c>
      <c r="Q227" s="113">
        <f t="shared" si="12"/>
        <v>1.552769532286476E-3</v>
      </c>
      <c r="R227" s="114"/>
      <c r="S227" s="115"/>
      <c r="T227" s="105"/>
    </row>
    <row r="228" spans="1:20" outlineLevel="1">
      <c r="A228" s="105"/>
      <c r="B228" s="106" t="s">
        <v>308</v>
      </c>
      <c r="C228" s="105"/>
      <c r="D228" s="107">
        <v>70215</v>
      </c>
      <c r="E228" s="107" t="s">
        <v>547</v>
      </c>
      <c r="F228" s="108"/>
      <c r="G228" s="109"/>
      <c r="H228" s="110"/>
      <c r="I228" s="111"/>
      <c r="J228" s="112">
        <v>0</v>
      </c>
      <c r="K228" s="111"/>
      <c r="L228" s="112">
        <v>0</v>
      </c>
      <c r="M228" s="111"/>
      <c r="N228" s="112">
        <v>0</v>
      </c>
      <c r="O228" s="111"/>
      <c r="P228" s="112">
        <v>-142.24</v>
      </c>
      <c r="Q228" s="113">
        <f t="shared" si="12"/>
        <v>-6.4169026267868809E-5</v>
      </c>
      <c r="R228" s="114"/>
      <c r="S228" s="115"/>
      <c r="T228" s="105"/>
    </row>
    <row r="229" spans="1:20" outlineLevel="1">
      <c r="A229" s="105"/>
      <c r="B229" s="106" t="s">
        <v>308</v>
      </c>
      <c r="C229" s="105"/>
      <c r="D229" s="107">
        <v>70225</v>
      </c>
      <c r="E229" s="107" t="s">
        <v>398</v>
      </c>
      <c r="F229" s="108"/>
      <c r="G229" s="109"/>
      <c r="H229" s="110"/>
      <c r="I229" s="111"/>
      <c r="J229" s="112">
        <v>0</v>
      </c>
      <c r="K229" s="111"/>
      <c r="L229" s="112">
        <v>300</v>
      </c>
      <c r="M229" s="111"/>
      <c r="N229" s="112">
        <v>0</v>
      </c>
      <c r="O229" s="111"/>
      <c r="P229" s="112">
        <v>400</v>
      </c>
      <c r="Q229" s="113">
        <f t="shared" si="12"/>
        <v>1.8045282977465919E-4</v>
      </c>
      <c r="R229" s="114"/>
      <c r="S229" s="115"/>
      <c r="T229" s="105"/>
    </row>
    <row r="230" spans="1:20" outlineLevel="1">
      <c r="A230" s="105"/>
      <c r="B230" s="106" t="s">
        <v>308</v>
      </c>
      <c r="C230" s="105"/>
      <c r="D230" s="107">
        <v>70231</v>
      </c>
      <c r="E230" s="107" t="s">
        <v>548</v>
      </c>
      <c r="F230" s="108"/>
      <c r="G230" s="109"/>
      <c r="H230" s="110"/>
      <c r="I230" s="111"/>
      <c r="J230" s="112">
        <v>0</v>
      </c>
      <c r="K230" s="111"/>
      <c r="L230" s="112">
        <v>0</v>
      </c>
      <c r="M230" s="111"/>
      <c r="N230" s="112">
        <v>0</v>
      </c>
      <c r="O230" s="111"/>
      <c r="P230" s="112">
        <v>66.34</v>
      </c>
      <c r="Q230" s="113">
        <f t="shared" si="12"/>
        <v>2.9928101818127228E-5</v>
      </c>
      <c r="R230" s="114"/>
      <c r="S230" s="115"/>
      <c r="T230" s="105"/>
    </row>
    <row r="231" spans="1:20" outlineLevel="1">
      <c r="A231" s="105"/>
      <c r="B231" s="106" t="s">
        <v>308</v>
      </c>
      <c r="C231" s="105"/>
      <c r="D231" s="107">
        <v>70245</v>
      </c>
      <c r="E231" s="107" t="s">
        <v>414</v>
      </c>
      <c r="F231" s="108"/>
      <c r="G231" s="109"/>
      <c r="H231" s="110"/>
      <c r="I231" s="111"/>
      <c r="J231" s="112">
        <v>47.62</v>
      </c>
      <c r="K231" s="111"/>
      <c r="L231" s="112">
        <v>47.77</v>
      </c>
      <c r="M231" s="111"/>
      <c r="N231" s="112">
        <v>47.53</v>
      </c>
      <c r="O231" s="111"/>
      <c r="P231" s="112">
        <v>428.36</v>
      </c>
      <c r="Q231" s="113">
        <f t="shared" si="12"/>
        <v>1.9324693540568252E-4</v>
      </c>
      <c r="R231" s="114"/>
      <c r="S231" s="115"/>
      <c r="T231" s="105"/>
    </row>
    <row r="232" spans="1:20" outlineLevel="1">
      <c r="A232" s="105"/>
      <c r="B232" s="106" t="s">
        <v>308</v>
      </c>
      <c r="C232" s="105"/>
      <c r="D232" s="107">
        <v>70255</v>
      </c>
      <c r="E232" s="107" t="s">
        <v>380</v>
      </c>
      <c r="F232" s="108"/>
      <c r="G232" s="109"/>
      <c r="H232" s="110"/>
      <c r="I232" s="111"/>
      <c r="J232" s="112">
        <v>756.46</v>
      </c>
      <c r="K232" s="111"/>
      <c r="L232" s="112">
        <v>138.81</v>
      </c>
      <c r="M232" s="111"/>
      <c r="N232" s="112">
        <v>30.68</v>
      </c>
      <c r="O232" s="111"/>
      <c r="P232" s="112">
        <v>1204.78</v>
      </c>
      <c r="Q232" s="113">
        <f t="shared" si="12"/>
        <v>5.4351490063978469E-4</v>
      </c>
      <c r="R232" s="114"/>
      <c r="S232" s="115"/>
      <c r="T232" s="105"/>
    </row>
    <row r="233" spans="1:20" outlineLevel="1">
      <c r="A233" s="105"/>
      <c r="B233" s="106" t="s">
        <v>308</v>
      </c>
      <c r="C233" s="105"/>
      <c r="D233" s="107">
        <v>70300</v>
      </c>
      <c r="E233" s="107" t="s">
        <v>415</v>
      </c>
      <c r="F233" s="108"/>
      <c r="G233" s="109"/>
      <c r="H233" s="110"/>
      <c r="I233" s="111"/>
      <c r="J233" s="112">
        <v>1438.72</v>
      </c>
      <c r="K233" s="111"/>
      <c r="L233" s="112">
        <v>1438.72</v>
      </c>
      <c r="M233" s="111"/>
      <c r="N233" s="112">
        <v>1438.72</v>
      </c>
      <c r="O233" s="111"/>
      <c r="P233" s="112">
        <v>12948.48</v>
      </c>
      <c r="Q233" s="113">
        <f t="shared" si="12"/>
        <v>5.8414746432014471E-3</v>
      </c>
      <c r="R233" s="114"/>
      <c r="S233" s="115"/>
      <c r="T233" s="105"/>
    </row>
    <row r="234" spans="1:20" outlineLevel="1">
      <c r="A234" s="105"/>
      <c r="B234" s="106" t="s">
        <v>308</v>
      </c>
      <c r="C234" s="105"/>
      <c r="D234" s="107">
        <v>70301</v>
      </c>
      <c r="E234" s="107" t="s">
        <v>549</v>
      </c>
      <c r="F234" s="108"/>
      <c r="G234" s="109"/>
      <c r="H234" s="110"/>
      <c r="I234" s="111"/>
      <c r="J234" s="112">
        <v>907.68</v>
      </c>
      <c r="K234" s="111"/>
      <c r="L234" s="112">
        <v>0</v>
      </c>
      <c r="M234" s="111"/>
      <c r="N234" s="112">
        <v>0</v>
      </c>
      <c r="O234" s="111"/>
      <c r="P234" s="112">
        <v>907.68</v>
      </c>
      <c r="Q234" s="113">
        <f t="shared" si="12"/>
        <v>4.0948356132465661E-4</v>
      </c>
      <c r="R234" s="114"/>
      <c r="S234" s="115"/>
      <c r="T234" s="105"/>
    </row>
    <row r="235" spans="1:20" outlineLevel="1">
      <c r="A235" s="105"/>
      <c r="B235" s="106" t="s">
        <v>308</v>
      </c>
      <c r="C235" s="105"/>
      <c r="D235" s="107">
        <v>70302</v>
      </c>
      <c r="E235" s="107" t="s">
        <v>550</v>
      </c>
      <c r="F235" s="108"/>
      <c r="G235" s="109"/>
      <c r="H235" s="110"/>
      <c r="I235" s="111"/>
      <c r="J235" s="112">
        <v>0</v>
      </c>
      <c r="K235" s="111"/>
      <c r="L235" s="112">
        <v>0</v>
      </c>
      <c r="M235" s="111"/>
      <c r="N235" s="112">
        <v>0</v>
      </c>
      <c r="O235" s="111"/>
      <c r="P235" s="112">
        <v>0</v>
      </c>
      <c r="Q235" s="113">
        <f t="shared" si="12"/>
        <v>0</v>
      </c>
      <c r="R235" s="114"/>
      <c r="S235" s="115"/>
      <c r="T235" s="105"/>
    </row>
    <row r="236" spans="1:20" outlineLevel="1">
      <c r="A236" s="105"/>
      <c r="B236" s="106" t="s">
        <v>308</v>
      </c>
      <c r="C236" s="105"/>
      <c r="D236" s="107">
        <v>70310</v>
      </c>
      <c r="E236" s="107" t="s">
        <v>416</v>
      </c>
      <c r="F236" s="108"/>
      <c r="G236" s="109"/>
      <c r="H236" s="110"/>
      <c r="I236" s="111"/>
      <c r="J236" s="112">
        <v>968.91</v>
      </c>
      <c r="K236" s="111"/>
      <c r="L236" s="112">
        <v>3090.94</v>
      </c>
      <c r="M236" s="111"/>
      <c r="N236" s="112">
        <v>1927.47</v>
      </c>
      <c r="O236" s="111"/>
      <c r="P236" s="112">
        <v>11762.76</v>
      </c>
      <c r="Q236" s="113">
        <f t="shared" si="12"/>
        <v>5.306558319900425E-3</v>
      </c>
      <c r="R236" s="114"/>
      <c r="S236" s="115"/>
      <c r="T236" s="105"/>
    </row>
    <row r="237" spans="1:20" outlineLevel="1">
      <c r="A237" s="105"/>
      <c r="B237" s="106" t="s">
        <v>308</v>
      </c>
      <c r="C237" s="105"/>
      <c r="D237" s="107">
        <v>70320</v>
      </c>
      <c r="E237" s="107" t="s">
        <v>417</v>
      </c>
      <c r="F237" s="108"/>
      <c r="G237" s="109"/>
      <c r="H237" s="110"/>
      <c r="I237" s="111"/>
      <c r="J237" s="112">
        <v>49.16</v>
      </c>
      <c r="K237" s="111"/>
      <c r="L237" s="112">
        <v>363.23</v>
      </c>
      <c r="M237" s="111"/>
      <c r="N237" s="112">
        <v>301.79000000000002</v>
      </c>
      <c r="O237" s="111"/>
      <c r="P237" s="112">
        <v>1539.08</v>
      </c>
      <c r="Q237" s="113">
        <f t="shared" si="12"/>
        <v>6.943283531239561E-4</v>
      </c>
      <c r="R237" s="114"/>
      <c r="S237" s="115"/>
      <c r="T237" s="105"/>
    </row>
    <row r="238" spans="1:20" outlineLevel="1">
      <c r="A238" s="105"/>
      <c r="B238" s="106" t="s">
        <v>308</v>
      </c>
      <c r="C238" s="105"/>
      <c r="D238" s="107">
        <v>70335</v>
      </c>
      <c r="E238" s="107" t="s">
        <v>418</v>
      </c>
      <c r="F238" s="108"/>
      <c r="G238" s="109"/>
      <c r="H238" s="110"/>
      <c r="I238" s="111"/>
      <c r="J238" s="112">
        <v>0</v>
      </c>
      <c r="K238" s="111"/>
      <c r="L238" s="112">
        <v>0</v>
      </c>
      <c r="M238" s="111"/>
      <c r="N238" s="112">
        <v>0</v>
      </c>
      <c r="O238" s="111"/>
      <c r="P238" s="112">
        <v>0</v>
      </c>
      <c r="Q238" s="113">
        <f t="shared" si="12"/>
        <v>0</v>
      </c>
      <c r="R238" s="114"/>
      <c r="S238" s="115"/>
      <c r="T238" s="105"/>
    </row>
    <row r="239" spans="1:20" outlineLevel="1">
      <c r="A239" s="105"/>
      <c r="B239" s="106" t="s">
        <v>308</v>
      </c>
      <c r="C239" s="105"/>
      <c r="D239" s="107">
        <v>70336</v>
      </c>
      <c r="E239" s="107" t="s">
        <v>551</v>
      </c>
      <c r="F239" s="108"/>
      <c r="G239" s="109"/>
      <c r="H239" s="110"/>
      <c r="I239" s="111"/>
      <c r="J239" s="112">
        <v>21.5</v>
      </c>
      <c r="K239" s="111"/>
      <c r="L239" s="112">
        <v>53.85</v>
      </c>
      <c r="M239" s="111"/>
      <c r="N239" s="112">
        <v>0</v>
      </c>
      <c r="O239" s="111"/>
      <c r="P239" s="112">
        <v>363.39</v>
      </c>
      <c r="Q239" s="113">
        <f t="shared" si="12"/>
        <v>1.6393688452953349E-4</v>
      </c>
      <c r="R239" s="114"/>
      <c r="S239" s="115"/>
      <c r="T239" s="105"/>
    </row>
    <row r="240" spans="1:20" outlineLevel="1">
      <c r="A240" s="105"/>
      <c r="B240" s="106" t="s">
        <v>308</v>
      </c>
      <c r="C240" s="105"/>
      <c r="D240" s="107">
        <v>70357</v>
      </c>
      <c r="E240" s="107" t="s">
        <v>383</v>
      </c>
      <c r="F240" s="108"/>
      <c r="G240" s="109"/>
      <c r="H240" s="110"/>
      <c r="I240" s="111"/>
      <c r="J240" s="112">
        <v>0</v>
      </c>
      <c r="K240" s="111"/>
      <c r="L240" s="112">
        <v>0</v>
      </c>
      <c r="M240" s="111"/>
      <c r="N240" s="112">
        <v>0</v>
      </c>
      <c r="O240" s="111"/>
      <c r="P240" s="112">
        <v>0</v>
      </c>
      <c r="Q240" s="113">
        <f t="shared" si="12"/>
        <v>0</v>
      </c>
      <c r="R240" s="114"/>
      <c r="S240" s="115"/>
      <c r="T240" s="105"/>
    </row>
    <row r="241" spans="1:20" s="65" customFormat="1" ht="5.0999999999999996" customHeight="1" outlineLevel="1">
      <c r="A241" s="140" t="s">
        <v>301</v>
      </c>
      <c r="B241" s="140" t="s">
        <v>301</v>
      </c>
      <c r="C241" s="110"/>
      <c r="D241" s="108"/>
      <c r="E241" s="108"/>
      <c r="F241" s="108"/>
      <c r="G241" s="108"/>
      <c r="H241" s="110"/>
      <c r="I241" s="110"/>
      <c r="J241" s="143"/>
      <c r="K241" s="142"/>
      <c r="L241" s="143"/>
      <c r="M241" s="142"/>
      <c r="N241" s="143"/>
      <c r="O241" s="142"/>
      <c r="P241" s="143"/>
      <c r="Q241" s="137"/>
      <c r="R241" s="120"/>
      <c r="S241" s="120"/>
      <c r="T241" s="110"/>
    </row>
    <row r="242" spans="1:20" s="65" customFormat="1">
      <c r="A242" s="140" t="s">
        <v>400</v>
      </c>
      <c r="B242" s="140" t="s">
        <v>301</v>
      </c>
      <c r="C242" s="110"/>
      <c r="D242" s="110"/>
      <c r="E242" s="110"/>
      <c r="F242" s="108" t="s">
        <v>419</v>
      </c>
      <c r="G242" s="110"/>
      <c r="H242" s="110"/>
      <c r="I242" s="110"/>
      <c r="J242" s="141">
        <f>SUM(J198:J241)</f>
        <v>24404.519999999993</v>
      </c>
      <c r="K242" s="142"/>
      <c r="L242" s="141">
        <f>SUM(L198:L241)</f>
        <v>24405.07</v>
      </c>
      <c r="M242" s="142"/>
      <c r="N242" s="141">
        <f>SUM(N198:N241)</f>
        <v>24062.67</v>
      </c>
      <c r="O242" s="142"/>
      <c r="P242" s="141">
        <f>SUM(P198:P241)</f>
        <v>226071.59000000003</v>
      </c>
      <c r="Q242" s="113">
        <f>IF(P$57=0,0,P242/P$57)</f>
        <v>0.10198814536789137</v>
      </c>
      <c r="R242" s="120"/>
      <c r="S242" s="120"/>
      <c r="T242" s="110"/>
    </row>
    <row r="243" spans="1:20" s="65" customFormat="1" outlineLevel="1">
      <c r="A243" s="140" t="s">
        <v>301</v>
      </c>
      <c r="B243" s="140" t="s">
        <v>301</v>
      </c>
      <c r="C243" s="110"/>
      <c r="D243" s="110"/>
      <c r="E243" s="110"/>
      <c r="F243" s="110"/>
      <c r="G243" s="110"/>
      <c r="H243" s="110"/>
      <c r="I243" s="110"/>
      <c r="J243" s="142"/>
      <c r="K243" s="142"/>
      <c r="L243" s="142"/>
      <c r="M243" s="142"/>
      <c r="N243" s="142"/>
      <c r="O243" s="142"/>
      <c r="P243" s="142"/>
      <c r="Q243" s="137"/>
      <c r="R243" s="120"/>
      <c r="S243" s="120"/>
      <c r="T243" s="110"/>
    </row>
    <row r="244" spans="1:20" outlineLevel="1">
      <c r="A244" s="105"/>
      <c r="B244" s="106" t="s">
        <v>420</v>
      </c>
      <c r="C244" s="105"/>
      <c r="D244" s="107">
        <v>70149</v>
      </c>
      <c r="E244" s="107" t="s">
        <v>421</v>
      </c>
      <c r="F244" s="108"/>
      <c r="G244" s="109"/>
      <c r="H244" s="110"/>
      <c r="I244" s="111"/>
      <c r="J244" s="112">
        <v>8917.17</v>
      </c>
      <c r="K244" s="111"/>
      <c r="L244" s="112">
        <v>8830.26</v>
      </c>
      <c r="M244" s="111"/>
      <c r="N244" s="112">
        <v>8588.2800000000007</v>
      </c>
      <c r="O244" s="111"/>
      <c r="P244" s="112">
        <v>74878.080000000002</v>
      </c>
      <c r="Q244" s="113">
        <f>IF(P$57=0,0,P244/P$57)</f>
        <v>3.3779903560233283E-2</v>
      </c>
      <c r="R244" s="114"/>
      <c r="S244" s="115"/>
      <c r="T244" s="105"/>
    </row>
    <row r="245" spans="1:20" s="65" customFormat="1" ht="5.0999999999999996" customHeight="1" outlineLevel="1">
      <c r="A245" s="140" t="s">
        <v>301</v>
      </c>
      <c r="B245" s="140" t="s">
        <v>301</v>
      </c>
      <c r="C245" s="110"/>
      <c r="D245" s="108"/>
      <c r="E245" s="108"/>
      <c r="F245" s="108"/>
      <c r="G245" s="108"/>
      <c r="H245" s="110"/>
      <c r="I245" s="110"/>
      <c r="J245" s="143"/>
      <c r="K245" s="142"/>
      <c r="L245" s="143"/>
      <c r="M245" s="142"/>
      <c r="N245" s="143"/>
      <c r="O245" s="142"/>
      <c r="P245" s="143"/>
      <c r="Q245" s="137"/>
      <c r="R245" s="120"/>
      <c r="S245" s="120"/>
      <c r="T245" s="110"/>
    </row>
    <row r="246" spans="1:20" s="65" customFormat="1">
      <c r="A246" s="140" t="s">
        <v>420</v>
      </c>
      <c r="B246" s="140" t="s">
        <v>301</v>
      </c>
      <c r="C246" s="110"/>
      <c r="D246" s="110"/>
      <c r="E246" s="110"/>
      <c r="F246" s="107" t="s">
        <v>422</v>
      </c>
      <c r="G246" s="110"/>
      <c r="H246" s="110"/>
      <c r="I246" s="110"/>
      <c r="J246" s="141">
        <f>SUM(J243:J245)</f>
        <v>8917.17</v>
      </c>
      <c r="K246" s="142"/>
      <c r="L246" s="141">
        <f>SUM(L243:L245)</f>
        <v>8830.26</v>
      </c>
      <c r="M246" s="142"/>
      <c r="N246" s="141">
        <f>SUM(N243:N245)</f>
        <v>8588.2800000000007</v>
      </c>
      <c r="O246" s="142"/>
      <c r="P246" s="141">
        <f>SUM(P243:P245)</f>
        <v>74878.080000000002</v>
      </c>
      <c r="Q246" s="113">
        <f>IF(P$57=0,0,P246/P$57)</f>
        <v>3.3779903560233283E-2</v>
      </c>
      <c r="R246" s="120"/>
      <c r="S246" s="120"/>
      <c r="T246" s="110"/>
    </row>
    <row r="247" spans="1:20" s="65" customFormat="1" ht="7.5" customHeight="1">
      <c r="A247" s="140" t="s">
        <v>301</v>
      </c>
      <c r="B247" s="140"/>
      <c r="C247" s="110"/>
      <c r="D247" s="110"/>
      <c r="E247" s="110"/>
      <c r="F247" s="110"/>
      <c r="G247" s="110"/>
      <c r="H247" s="110"/>
      <c r="I247" s="110"/>
      <c r="J247" s="142"/>
      <c r="K247" s="142"/>
      <c r="L247" s="142"/>
      <c r="M247" s="142"/>
      <c r="N247" s="142"/>
      <c r="O247" s="142"/>
      <c r="P247" s="142"/>
      <c r="Q247" s="137"/>
      <c r="R247" s="120"/>
      <c r="S247" s="120"/>
      <c r="T247" s="110"/>
    </row>
    <row r="248" spans="1:20" s="65" customFormat="1">
      <c r="A248" s="140" t="s">
        <v>301</v>
      </c>
      <c r="B248" s="140"/>
      <c r="C248" s="110"/>
      <c r="D248" s="110"/>
      <c r="E248" s="145" t="s">
        <v>423</v>
      </c>
      <c r="F248" s="110"/>
      <c r="G248" s="110"/>
      <c r="H248" s="110"/>
      <c r="I248" s="110"/>
      <c r="J248" s="146">
        <f>+J196+J242+J246</f>
        <v>33321.689999999995</v>
      </c>
      <c r="K248" s="142"/>
      <c r="L248" s="146">
        <f>+L196+L242+L246</f>
        <v>33235.33</v>
      </c>
      <c r="M248" s="142"/>
      <c r="N248" s="146">
        <f>+N196+N242+N246</f>
        <v>32650.949999999997</v>
      </c>
      <c r="O248" s="142"/>
      <c r="P248" s="146">
        <f>+P196+P242+P246</f>
        <v>301049.67000000004</v>
      </c>
      <c r="Q248" s="113">
        <f>IF(P$57=0,0,P248/P$57)</f>
        <v>0.13581316213556832</v>
      </c>
      <c r="R248" s="120"/>
      <c r="S248" s="120"/>
      <c r="T248" s="110"/>
    </row>
    <row r="249" spans="1:20" s="65" customFormat="1" ht="7.5" customHeight="1">
      <c r="A249" s="140"/>
      <c r="B249" s="140"/>
      <c r="C249" s="110"/>
      <c r="D249" s="110"/>
      <c r="E249" s="110"/>
      <c r="F249" s="110"/>
      <c r="G249" s="110"/>
      <c r="H249" s="110"/>
      <c r="I249" s="110"/>
      <c r="J249" s="142"/>
      <c r="K249" s="142"/>
      <c r="L249" s="142"/>
      <c r="M249" s="142"/>
      <c r="N249" s="142"/>
      <c r="O249" s="142"/>
      <c r="P249" s="142"/>
      <c r="Q249" s="137"/>
      <c r="R249" s="120"/>
      <c r="S249" s="120"/>
      <c r="T249" s="110"/>
    </row>
    <row r="250" spans="1:20" s="65" customFormat="1" ht="7.5" customHeight="1">
      <c r="A250" s="140"/>
      <c r="B250" s="140" t="s">
        <v>301</v>
      </c>
      <c r="C250" s="110"/>
      <c r="D250" s="151"/>
      <c r="E250" s="151"/>
      <c r="F250" s="151"/>
      <c r="G250" s="151"/>
      <c r="H250" s="151"/>
      <c r="I250" s="151"/>
      <c r="J250" s="152"/>
      <c r="K250" s="142"/>
      <c r="L250" s="152"/>
      <c r="M250" s="142"/>
      <c r="N250" s="152"/>
      <c r="O250" s="142"/>
      <c r="P250" s="152"/>
      <c r="Q250" s="137"/>
      <c r="R250" s="120"/>
      <c r="S250" s="120"/>
      <c r="T250" s="110"/>
    </row>
    <row r="251" spans="1:20" s="65" customFormat="1">
      <c r="A251" s="140"/>
      <c r="B251" s="140" t="s">
        <v>301</v>
      </c>
      <c r="C251" s="110"/>
      <c r="D251" s="110"/>
      <c r="E251" s="154" t="s">
        <v>424</v>
      </c>
      <c r="F251" s="155"/>
      <c r="G251" s="155"/>
      <c r="H251" s="155"/>
      <c r="I251" s="155"/>
      <c r="J251" s="156">
        <f>+J191-J248</f>
        <v>49181.430000000015</v>
      </c>
      <c r="K251" s="157"/>
      <c r="L251" s="156">
        <f>+L191-L248</f>
        <v>47116.270000000004</v>
      </c>
      <c r="M251" s="158"/>
      <c r="N251" s="156">
        <f>+N191-N248</f>
        <v>19869.769999999946</v>
      </c>
      <c r="O251" s="158"/>
      <c r="P251" s="156">
        <f>+P191-P248</f>
        <v>279006.55999999982</v>
      </c>
      <c r="Q251" s="113">
        <f>IF(P$57=0,0,P251/P$57)</f>
        <v>0.12586880819423302</v>
      </c>
      <c r="R251" s="159"/>
      <c r="S251" s="110"/>
      <c r="T251" s="110"/>
    </row>
    <row r="252" spans="1:20" s="65" customFormat="1" ht="6.75" customHeight="1">
      <c r="A252" s="140" t="s">
        <v>301</v>
      </c>
      <c r="B252" s="140" t="s">
        <v>301</v>
      </c>
      <c r="C252" s="105"/>
      <c r="D252" s="160"/>
      <c r="E252" s="160"/>
      <c r="F252" s="160"/>
      <c r="G252" s="160"/>
      <c r="H252" s="160"/>
      <c r="I252" s="160"/>
      <c r="J252" s="161"/>
      <c r="K252" s="160"/>
      <c r="L252" s="161"/>
      <c r="M252" s="162"/>
      <c r="N252" s="161"/>
      <c r="O252" s="162"/>
      <c r="P252" s="161"/>
      <c r="Q252" s="163"/>
      <c r="R252" s="120"/>
      <c r="S252" s="120"/>
      <c r="T252" s="110"/>
    </row>
    <row r="253" spans="1:20" s="65" customFormat="1">
      <c r="A253" s="140" t="s">
        <v>301</v>
      </c>
      <c r="B253" s="140" t="s">
        <v>301</v>
      </c>
      <c r="C253" s="105"/>
      <c r="D253" s="110"/>
      <c r="E253" s="164" t="s">
        <v>425</v>
      </c>
      <c r="F253" s="165"/>
      <c r="G253" s="165"/>
      <c r="H253" s="165"/>
      <c r="I253" s="165"/>
      <c r="J253" s="166">
        <f>J251 +J183+SUMIF($D:$D,52141,J:J)+SUMIF($D:$D,52142,J:J)+SUMIF($D:$D,52143,J:J)+SUMIF($D:$D,55142,J:J)+SUMIF($D:$D,56142,J:J)+SUMIF($D:$D,70142,J:J)</f>
        <v>40368.060000000012</v>
      </c>
      <c r="K253" s="165"/>
      <c r="L253" s="166">
        <f>L251 +L183+SUMIF($D:$D,52141,L:L)+SUMIF($D:$D,52142,L:L)+SUMIF($D:$D,52143,L:L)+SUMIF($D:$D,55142,L:L)+SUMIF($D:$D,56142,L:L)+SUMIF($D:$D,70142,L:L)</f>
        <v>61220.000000000007</v>
      </c>
      <c r="M253" s="167"/>
      <c r="N253" s="166">
        <f>N251 +N183+SUMIF($D:$D,52141,N:N)+SUMIF($D:$D,52142,N:N)+SUMIF($D:$D,52143,N:N)+SUMIF($D:$D,55142,N:N)+SUMIF($D:$D,56142,N:N)+SUMIF($D:$D,70142,N:N)</f>
        <v>39587.849999999948</v>
      </c>
      <c r="O253" s="167"/>
      <c r="P253" s="166">
        <f>P251 +P183+SUMIF($D:$D,52141,P:P)+SUMIF($D:$D,52142,P:P)+SUMIF($D:$D,52143,P:P)+SUMIF($D:$D,55142,P:P)+SUMIF($D:$D,56142,P:P)+SUMIF($D:$D,70142,P:P)</f>
        <v>401432.41999999981</v>
      </c>
      <c r="Q253" s="113">
        <f>IF(P$57=0,0,P253/P$57)</f>
        <v>0.18109904038072364</v>
      </c>
      <c r="R253" s="159"/>
      <c r="S253" s="110"/>
      <c r="T253" s="110"/>
    </row>
    <row r="254" spans="1:20" s="65" customFormat="1" ht="6.75" customHeight="1">
      <c r="A254" s="140" t="s">
        <v>301</v>
      </c>
      <c r="B254" s="140" t="s">
        <v>301</v>
      </c>
      <c r="C254" s="105"/>
      <c r="D254" s="110"/>
      <c r="E254" s="110"/>
      <c r="F254" s="110"/>
      <c r="G254" s="110"/>
      <c r="H254" s="110"/>
      <c r="I254" s="110"/>
      <c r="J254" s="142"/>
      <c r="K254" s="142"/>
      <c r="L254" s="142"/>
      <c r="M254" s="168"/>
      <c r="N254" s="142"/>
      <c r="O254" s="168"/>
      <c r="P254" s="142"/>
      <c r="Q254" s="163"/>
      <c r="R254" s="120"/>
      <c r="S254" s="110"/>
      <c r="T254" s="110"/>
    </row>
    <row r="255" spans="1:20" outlineLevel="1">
      <c r="A255" s="105"/>
      <c r="B255" s="106" t="s">
        <v>426</v>
      </c>
      <c r="C255" s="105"/>
      <c r="D255" s="107">
        <v>51260</v>
      </c>
      <c r="E255" s="107" t="s">
        <v>427</v>
      </c>
      <c r="F255" s="108"/>
      <c r="G255" s="109"/>
      <c r="H255" s="110"/>
      <c r="I255" s="111"/>
      <c r="J255" s="112">
        <v>6749.99</v>
      </c>
      <c r="K255" s="111"/>
      <c r="L255" s="112">
        <v>6750</v>
      </c>
      <c r="M255" s="111"/>
      <c r="N255" s="112">
        <v>10829.76</v>
      </c>
      <c r="O255" s="111"/>
      <c r="P255" s="112">
        <v>65770.25</v>
      </c>
      <c r="Q255" s="113">
        <f t="shared" ref="Q255:Q258" si="13">IF(P$57=0,0,P255/P$57)</f>
        <v>2.9671069318716947E-2</v>
      </c>
      <c r="R255" s="114"/>
      <c r="S255" s="115"/>
      <c r="T255" s="105"/>
    </row>
    <row r="256" spans="1:20" outlineLevel="1">
      <c r="A256" s="105"/>
      <c r="B256" s="106" t="s">
        <v>308</v>
      </c>
      <c r="C256" s="105"/>
      <c r="D256" s="107">
        <v>54260</v>
      </c>
      <c r="E256" s="107" t="s">
        <v>427</v>
      </c>
      <c r="F256" s="108"/>
      <c r="G256" s="109"/>
      <c r="H256" s="110"/>
      <c r="I256" s="111"/>
      <c r="J256" s="112">
        <v>2519.16</v>
      </c>
      <c r="K256" s="111"/>
      <c r="L256" s="112">
        <v>2519.34</v>
      </c>
      <c r="M256" s="111"/>
      <c r="N256" s="112">
        <v>2519.41</v>
      </c>
      <c r="O256" s="111"/>
      <c r="P256" s="112">
        <v>22674.19</v>
      </c>
      <c r="Q256" s="113">
        <f t="shared" si="13"/>
        <v>1.0229054370870698E-2</v>
      </c>
      <c r="R256" s="114"/>
      <c r="S256" s="115"/>
      <c r="T256" s="105"/>
    </row>
    <row r="257" spans="1:20" outlineLevel="1">
      <c r="A257" s="105"/>
      <c r="B257" s="106" t="s">
        <v>308</v>
      </c>
      <c r="C257" s="105"/>
      <c r="D257" s="107">
        <v>57260</v>
      </c>
      <c r="E257" s="107" t="s">
        <v>427</v>
      </c>
      <c r="F257" s="108"/>
      <c r="G257" s="109"/>
      <c r="H257" s="110"/>
      <c r="I257" s="111"/>
      <c r="J257" s="112">
        <v>1879.77</v>
      </c>
      <c r="K257" s="111"/>
      <c r="L257" s="112">
        <v>2096.89</v>
      </c>
      <c r="M257" s="111"/>
      <c r="N257" s="112">
        <v>2096.89</v>
      </c>
      <c r="O257" s="111"/>
      <c r="P257" s="112">
        <v>17352.3</v>
      </c>
      <c r="Q257" s="113">
        <f t="shared" si="13"/>
        <v>7.8281790952470457E-3</v>
      </c>
      <c r="R257" s="114"/>
      <c r="S257" s="115"/>
      <c r="T257" s="105"/>
    </row>
    <row r="258" spans="1:20" outlineLevel="1">
      <c r="A258" s="105"/>
      <c r="B258" s="106" t="s">
        <v>308</v>
      </c>
      <c r="C258" s="105"/>
      <c r="D258" s="107">
        <v>70260</v>
      </c>
      <c r="E258" s="107" t="s">
        <v>427</v>
      </c>
      <c r="F258" s="108"/>
      <c r="G258" s="109"/>
      <c r="H258" s="110"/>
      <c r="I258" s="111"/>
      <c r="J258" s="112">
        <v>366.41</v>
      </c>
      <c r="K258" s="111"/>
      <c r="L258" s="112">
        <v>366.42</v>
      </c>
      <c r="M258" s="111"/>
      <c r="N258" s="112">
        <v>366.41</v>
      </c>
      <c r="O258" s="111"/>
      <c r="P258" s="112">
        <v>3355.33</v>
      </c>
      <c r="Q258" s="113">
        <f t="shared" si="13"/>
        <v>1.513696983319518E-3</v>
      </c>
      <c r="R258" s="114"/>
      <c r="S258" s="115"/>
      <c r="T258" s="105"/>
    </row>
    <row r="259" spans="1:20" s="65" customFormat="1" ht="5.0999999999999996" customHeight="1" outlineLevel="1">
      <c r="A259" s="140" t="s">
        <v>301</v>
      </c>
      <c r="B259" s="140" t="s">
        <v>301</v>
      </c>
      <c r="C259" s="105"/>
      <c r="D259" s="108"/>
      <c r="E259" s="108"/>
      <c r="F259" s="108"/>
      <c r="G259" s="108"/>
      <c r="H259" s="110"/>
      <c r="I259" s="110"/>
      <c r="J259" s="143"/>
      <c r="K259" s="142"/>
      <c r="L259" s="143"/>
      <c r="M259" s="142"/>
      <c r="N259" s="143"/>
      <c r="O259" s="168"/>
      <c r="P259" s="143"/>
      <c r="Q259" s="163"/>
      <c r="R259" s="120"/>
      <c r="S259" s="110"/>
      <c r="T259" s="110"/>
    </row>
    <row r="260" spans="1:20" s="65" customFormat="1">
      <c r="A260" s="140" t="s">
        <v>426</v>
      </c>
      <c r="B260" s="140" t="s">
        <v>301</v>
      </c>
      <c r="C260" s="105"/>
      <c r="D260" s="110"/>
      <c r="E260" s="110"/>
      <c r="F260" s="108" t="s">
        <v>427</v>
      </c>
      <c r="G260" s="110"/>
      <c r="H260" s="110"/>
      <c r="I260" s="110"/>
      <c r="J260" s="141">
        <f>SUM(J255:J259)</f>
        <v>11515.33</v>
      </c>
      <c r="K260" s="142"/>
      <c r="L260" s="141">
        <f>SUM(L255:L259)</f>
        <v>11732.65</v>
      </c>
      <c r="M260" s="142"/>
      <c r="N260" s="141">
        <f>SUM(N255:N259)</f>
        <v>15812.47</v>
      </c>
      <c r="O260" s="169">
        <f>IF(N$51=0,0,N260/N$51)</f>
        <v>0</v>
      </c>
      <c r="P260" s="141">
        <f>SUM(P255:P259)</f>
        <v>109152.07</v>
      </c>
      <c r="Q260" s="113">
        <f>IF(P$57=0,0,P260/P$57)</f>
        <v>4.9241999768154215E-2</v>
      </c>
      <c r="R260" s="120"/>
      <c r="S260" s="110"/>
      <c r="T260" s="110"/>
    </row>
    <row r="261" spans="1:20" s="65" customFormat="1" outlineLevel="1">
      <c r="A261" s="140" t="s">
        <v>301</v>
      </c>
      <c r="B261" s="140" t="s">
        <v>301</v>
      </c>
      <c r="C261" s="105"/>
      <c r="D261" s="110"/>
      <c r="E261" s="110"/>
      <c r="F261" s="108"/>
      <c r="G261" s="110"/>
      <c r="H261" s="110"/>
      <c r="I261" s="110"/>
      <c r="J261" s="142"/>
      <c r="K261" s="142"/>
      <c r="L261" s="142"/>
      <c r="M261" s="142"/>
      <c r="N261" s="142"/>
      <c r="O261" s="168"/>
      <c r="P261" s="142"/>
      <c r="Q261" s="163"/>
      <c r="R261" s="120"/>
      <c r="S261" s="110"/>
      <c r="T261" s="110"/>
    </row>
    <row r="262" spans="1:20" outlineLevel="1">
      <c r="A262" s="105"/>
      <c r="B262" s="106" t="s">
        <v>428</v>
      </c>
      <c r="C262" s="105"/>
      <c r="D262" s="107"/>
      <c r="E262" s="107"/>
      <c r="F262" s="108"/>
      <c r="G262" s="109"/>
      <c r="H262" s="110"/>
      <c r="I262" s="111"/>
      <c r="J262" s="112"/>
      <c r="K262" s="111"/>
      <c r="L262" s="112"/>
      <c r="M262" s="111"/>
      <c r="N262" s="112"/>
      <c r="O262" s="111"/>
      <c r="P262" s="112"/>
      <c r="Q262" s="113"/>
      <c r="R262" s="114"/>
      <c r="S262" s="115"/>
      <c r="T262" s="105"/>
    </row>
    <row r="263" spans="1:20" s="65" customFormat="1" ht="5.0999999999999996" customHeight="1" outlineLevel="1">
      <c r="A263" s="140" t="s">
        <v>301</v>
      </c>
      <c r="B263" s="140" t="s">
        <v>301</v>
      </c>
      <c r="C263" s="105"/>
      <c r="D263" s="108"/>
      <c r="E263" s="108"/>
      <c r="F263" s="108"/>
      <c r="G263" s="108"/>
      <c r="H263" s="110"/>
      <c r="I263" s="110"/>
      <c r="J263" s="143"/>
      <c r="K263" s="142"/>
      <c r="L263" s="143"/>
      <c r="M263" s="142"/>
      <c r="N263" s="143"/>
      <c r="O263" s="168"/>
      <c r="P263" s="143"/>
      <c r="Q263" s="163"/>
      <c r="R263" s="120"/>
      <c r="S263" s="110"/>
      <c r="T263" s="110"/>
    </row>
    <row r="264" spans="1:20" s="65" customFormat="1">
      <c r="A264" s="140" t="s">
        <v>428</v>
      </c>
      <c r="B264" s="140" t="s">
        <v>301</v>
      </c>
      <c r="C264" s="105"/>
      <c r="D264" s="110"/>
      <c r="E264" s="110"/>
      <c r="F264" s="107" t="s">
        <v>429</v>
      </c>
      <c r="G264" s="110"/>
      <c r="H264" s="110"/>
      <c r="I264" s="110"/>
      <c r="J264" s="141">
        <f>SUM(J262:J263)</f>
        <v>0</v>
      </c>
      <c r="K264" s="142"/>
      <c r="L264" s="141">
        <f>SUM(L262:L263)</f>
        <v>0</v>
      </c>
      <c r="M264" s="142"/>
      <c r="N264" s="141">
        <f>SUM(N262:N263)</f>
        <v>0</v>
      </c>
      <c r="O264" s="169">
        <f>IF(N$51=0,0,N264/N$51)</f>
        <v>0</v>
      </c>
      <c r="P264" s="141">
        <f>SUM(P262:P263)</f>
        <v>0</v>
      </c>
      <c r="Q264" s="113">
        <f>IF(P$57=0,0,P264/P$57)</f>
        <v>0</v>
      </c>
      <c r="R264" s="120"/>
      <c r="S264" s="110"/>
      <c r="T264" s="110"/>
    </row>
    <row r="265" spans="1:20" s="65" customFormat="1" outlineLevel="1">
      <c r="A265" s="140" t="s">
        <v>301</v>
      </c>
      <c r="B265" s="140" t="s">
        <v>301</v>
      </c>
      <c r="C265" s="105"/>
      <c r="D265" s="110"/>
      <c r="E265" s="110"/>
      <c r="F265" s="110"/>
      <c r="G265" s="110"/>
      <c r="H265" s="110"/>
      <c r="I265" s="110"/>
      <c r="J265" s="142"/>
      <c r="K265" s="142"/>
      <c r="L265" s="142"/>
      <c r="M265" s="142"/>
      <c r="N265" s="142"/>
      <c r="O265" s="142"/>
      <c r="P265" s="142"/>
      <c r="Q265" s="163"/>
      <c r="R265" s="120"/>
      <c r="S265" s="110"/>
      <c r="T265" s="110"/>
    </row>
    <row r="266" spans="1:20" outlineLevel="1">
      <c r="A266" s="105"/>
      <c r="B266" s="106" t="s">
        <v>430</v>
      </c>
      <c r="C266" s="105"/>
      <c r="D266" s="107">
        <v>70269</v>
      </c>
      <c r="E266" s="107" t="s">
        <v>431</v>
      </c>
      <c r="F266" s="108"/>
      <c r="G266" s="109"/>
      <c r="H266" s="110"/>
      <c r="I266" s="111"/>
      <c r="J266" s="112">
        <v>651.71</v>
      </c>
      <c r="K266" s="111"/>
      <c r="L266" s="112">
        <v>651.70000000000005</v>
      </c>
      <c r="M266" s="111"/>
      <c r="N266" s="112">
        <v>651.71</v>
      </c>
      <c r="O266" s="111"/>
      <c r="P266" s="112">
        <v>5865.38</v>
      </c>
      <c r="Q266" s="113">
        <f>IF(P$57=0,0,P266/P$57)</f>
        <v>2.6460610467592262E-3</v>
      </c>
      <c r="R266" s="114"/>
      <c r="S266" s="115"/>
      <c r="T266" s="105"/>
    </row>
    <row r="267" spans="1:20" s="65" customFormat="1" ht="5.0999999999999996" customHeight="1" outlineLevel="1">
      <c r="A267" s="140" t="s">
        <v>301</v>
      </c>
      <c r="B267" s="138" t="s">
        <v>301</v>
      </c>
      <c r="C267" s="170"/>
      <c r="D267" s="108"/>
      <c r="E267" s="108"/>
      <c r="F267" s="108"/>
      <c r="G267" s="108"/>
      <c r="H267" s="110"/>
      <c r="I267" s="110"/>
      <c r="J267" s="143"/>
      <c r="K267" s="142"/>
      <c r="L267" s="143"/>
      <c r="M267" s="142"/>
      <c r="N267" s="143"/>
      <c r="O267" s="142"/>
      <c r="P267" s="143"/>
      <c r="Q267" s="163"/>
      <c r="R267" s="120"/>
      <c r="S267" s="110"/>
      <c r="T267" s="110"/>
    </row>
    <row r="268" spans="1:20" s="65" customFormat="1">
      <c r="A268" s="140" t="s">
        <v>430</v>
      </c>
      <c r="B268" s="138" t="s">
        <v>301</v>
      </c>
      <c r="C268" s="170"/>
      <c r="D268" s="110"/>
      <c r="E268" s="110"/>
      <c r="F268" s="108" t="s">
        <v>432</v>
      </c>
      <c r="G268" s="110"/>
      <c r="H268" s="110"/>
      <c r="I268" s="110"/>
      <c r="J268" s="141">
        <f>SUM(J266:J267)</f>
        <v>651.71</v>
      </c>
      <c r="K268" s="142"/>
      <c r="L268" s="141">
        <f>SUM(L266:L267)</f>
        <v>651.70000000000005</v>
      </c>
      <c r="M268" s="142"/>
      <c r="N268" s="141">
        <f>SUM(N266:N267)</f>
        <v>651.71</v>
      </c>
      <c r="O268" s="169">
        <f>IF(N$51=0,0,N268/N$51)</f>
        <v>0</v>
      </c>
      <c r="P268" s="141">
        <f>SUM(P266:P267)</f>
        <v>5865.38</v>
      </c>
      <c r="Q268" s="113">
        <f>IF(P$57=0,0,P268/P$57)</f>
        <v>2.6460610467592262E-3</v>
      </c>
      <c r="R268" s="120"/>
      <c r="S268" s="110"/>
      <c r="T268" s="110"/>
    </row>
    <row r="269" spans="1:20" s="65" customFormat="1" ht="6.75" customHeight="1">
      <c r="A269" s="138" t="s">
        <v>301</v>
      </c>
      <c r="B269" s="138" t="s">
        <v>301</v>
      </c>
      <c r="C269" s="170"/>
      <c r="D269" s="110"/>
      <c r="E269" s="110"/>
      <c r="F269" s="110"/>
      <c r="G269" s="110"/>
      <c r="H269" s="110"/>
      <c r="I269" s="110"/>
      <c r="J269" s="142"/>
      <c r="K269" s="142"/>
      <c r="L269" s="142"/>
      <c r="M269" s="142"/>
      <c r="N269" s="142"/>
      <c r="O269" s="142"/>
      <c r="P269" s="142"/>
      <c r="Q269" s="163"/>
      <c r="R269" s="120"/>
      <c r="S269" s="110"/>
      <c r="T269" s="110"/>
    </row>
    <row r="270" spans="1:20" s="65" customFormat="1">
      <c r="A270" s="138" t="s">
        <v>301</v>
      </c>
      <c r="B270" s="138" t="s">
        <v>301</v>
      </c>
      <c r="C270" s="170"/>
      <c r="D270" s="110"/>
      <c r="E270" s="145" t="s">
        <v>433</v>
      </c>
      <c r="F270" s="110"/>
      <c r="G270" s="110"/>
      <c r="H270" s="110"/>
      <c r="I270" s="110"/>
      <c r="J270" s="146">
        <f>+J260+J264+J268</f>
        <v>12167.04</v>
      </c>
      <c r="K270" s="142"/>
      <c r="L270" s="146">
        <f>+L260+L264+L268</f>
        <v>12384.35</v>
      </c>
      <c r="M270" s="142"/>
      <c r="N270" s="146">
        <f>+N260+N264+N268</f>
        <v>16464.18</v>
      </c>
      <c r="O270" s="169">
        <f>IF(N$51=0,0,N270/N$51)</f>
        <v>0</v>
      </c>
      <c r="P270" s="146">
        <f>+P260+P264+P268</f>
        <v>115017.45000000001</v>
      </c>
      <c r="Q270" s="113">
        <f>IF(P$57=0,0,P270/P$57)</f>
        <v>5.1888060814913442E-2</v>
      </c>
      <c r="R270" s="120"/>
      <c r="S270" s="110"/>
      <c r="T270" s="110"/>
    </row>
    <row r="271" spans="1:20" s="65" customFormat="1" ht="6.75" customHeight="1">
      <c r="A271" s="138" t="s">
        <v>301</v>
      </c>
      <c r="B271" s="138" t="s">
        <v>301</v>
      </c>
      <c r="C271" s="170"/>
      <c r="D271" s="110"/>
      <c r="E271" s="110"/>
      <c r="F271" s="110"/>
      <c r="G271" s="110"/>
      <c r="H271" s="110"/>
      <c r="I271" s="110"/>
      <c r="J271" s="142"/>
      <c r="K271" s="142"/>
      <c r="L271" s="142"/>
      <c r="M271" s="142"/>
      <c r="N271" s="142"/>
      <c r="O271" s="142"/>
      <c r="P271" s="142"/>
      <c r="Q271" s="163"/>
      <c r="R271" s="120"/>
      <c r="S271" s="110"/>
      <c r="T271" s="110"/>
    </row>
    <row r="272" spans="1:20" s="65" customFormat="1">
      <c r="A272" s="138" t="s">
        <v>301</v>
      </c>
      <c r="B272" s="138" t="s">
        <v>301</v>
      </c>
      <c r="C272" s="170"/>
      <c r="D272" s="110"/>
      <c r="E272" s="150" t="s">
        <v>434</v>
      </c>
      <c r="F272" s="110"/>
      <c r="G272" s="110"/>
      <c r="H272" s="110"/>
      <c r="I272" s="110"/>
      <c r="J272" s="146">
        <f>+J251-J270</f>
        <v>37014.390000000014</v>
      </c>
      <c r="K272" s="142"/>
      <c r="L272" s="146">
        <f>+L251-L270</f>
        <v>34731.920000000006</v>
      </c>
      <c r="M272" s="142"/>
      <c r="N272" s="146">
        <f>+N251-N270</f>
        <v>3405.5899999999456</v>
      </c>
      <c r="O272" s="169">
        <f>IF(N$51=0,0,N272/N$51)</f>
        <v>0</v>
      </c>
      <c r="P272" s="146">
        <f>+P251-P270</f>
        <v>163989.10999999981</v>
      </c>
      <c r="Q272" s="113">
        <f>IF(P$57=0,0,P272/P$57)</f>
        <v>7.3980747379319561E-2</v>
      </c>
      <c r="R272" s="120"/>
      <c r="S272" s="110"/>
      <c r="T272" s="110"/>
    </row>
    <row r="273" spans="1:20" s="65" customFormat="1" ht="6.75" customHeight="1">
      <c r="A273" s="138" t="s">
        <v>301</v>
      </c>
      <c r="B273" s="138" t="s">
        <v>301</v>
      </c>
      <c r="C273" s="170"/>
      <c r="D273" s="110"/>
      <c r="E273" s="110"/>
      <c r="F273" s="110"/>
      <c r="G273" s="110"/>
      <c r="H273" s="110"/>
      <c r="I273" s="110"/>
      <c r="J273" s="142"/>
      <c r="K273" s="142"/>
      <c r="L273" s="142"/>
      <c r="M273" s="142"/>
      <c r="N273" s="142"/>
      <c r="O273" s="142"/>
      <c r="P273" s="142"/>
      <c r="Q273" s="163"/>
      <c r="R273" s="120"/>
      <c r="S273" s="110"/>
      <c r="T273" s="110"/>
    </row>
    <row r="274" spans="1:20" outlineLevel="1">
      <c r="A274" s="105"/>
      <c r="B274" s="106" t="s">
        <v>435</v>
      </c>
      <c r="C274" s="105"/>
      <c r="D274" s="107"/>
      <c r="E274" s="107"/>
      <c r="F274" s="108"/>
      <c r="G274" s="109"/>
      <c r="H274" s="110"/>
      <c r="I274" s="111"/>
      <c r="J274" s="112"/>
      <c r="K274" s="111"/>
      <c r="L274" s="112"/>
      <c r="M274" s="111"/>
      <c r="N274" s="112"/>
      <c r="O274" s="111"/>
      <c r="P274" s="112"/>
      <c r="Q274" s="113"/>
      <c r="R274" s="114"/>
      <c r="S274" s="115"/>
      <c r="T274" s="105"/>
    </row>
    <row r="275" spans="1:20" s="65" customFormat="1" ht="5.0999999999999996" customHeight="1" outlineLevel="1">
      <c r="A275" s="138" t="s">
        <v>301</v>
      </c>
      <c r="B275" s="138" t="s">
        <v>301</v>
      </c>
      <c r="C275" s="170"/>
      <c r="D275" s="108"/>
      <c r="E275" s="108"/>
      <c r="F275" s="108"/>
      <c r="G275" s="108"/>
      <c r="H275" s="110"/>
      <c r="I275" s="110"/>
      <c r="J275" s="143"/>
      <c r="K275" s="142"/>
      <c r="L275" s="143"/>
      <c r="M275" s="142"/>
      <c r="N275" s="143"/>
      <c r="O275" s="142"/>
      <c r="P275" s="143"/>
      <c r="Q275" s="163"/>
      <c r="R275" s="120"/>
      <c r="S275" s="110"/>
      <c r="T275" s="110"/>
    </row>
    <row r="276" spans="1:20" s="65" customFormat="1">
      <c r="A276" s="140" t="s">
        <v>435</v>
      </c>
      <c r="B276" s="138" t="s">
        <v>301</v>
      </c>
      <c r="C276" s="170"/>
      <c r="D276" s="110"/>
      <c r="E276" s="110"/>
      <c r="F276" s="108" t="s">
        <v>436</v>
      </c>
      <c r="G276" s="110"/>
      <c r="H276" s="110"/>
      <c r="I276" s="110"/>
      <c r="J276" s="141">
        <f>SUM(J274:J275)</f>
        <v>0</v>
      </c>
      <c r="K276" s="142"/>
      <c r="L276" s="141">
        <f>SUM(L274:L275)</f>
        <v>0</v>
      </c>
      <c r="M276" s="142"/>
      <c r="N276" s="141">
        <f>SUM(N274:N275)</f>
        <v>0</v>
      </c>
      <c r="O276" s="169">
        <f>IF(N$51=0,0,N276/N$51)</f>
        <v>0</v>
      </c>
      <c r="P276" s="141">
        <f>SUM(P274:P275)</f>
        <v>0</v>
      </c>
      <c r="Q276" s="113">
        <f>IF(P$57=0,0,P276/P$57)</f>
        <v>0</v>
      </c>
      <c r="R276" s="120"/>
      <c r="S276" s="110"/>
      <c r="T276" s="110"/>
    </row>
    <row r="277" spans="1:20" s="65" customFormat="1" outlineLevel="1">
      <c r="A277" s="138" t="s">
        <v>301</v>
      </c>
      <c r="B277" s="138" t="s">
        <v>301</v>
      </c>
      <c r="C277" s="170"/>
      <c r="D277" s="110"/>
      <c r="E277" s="110"/>
      <c r="F277" s="110"/>
      <c r="G277" s="110"/>
      <c r="H277" s="110"/>
      <c r="I277" s="110"/>
      <c r="J277" s="142"/>
      <c r="K277" s="142"/>
      <c r="L277" s="142"/>
      <c r="M277" s="142"/>
      <c r="N277" s="142"/>
      <c r="O277" s="142"/>
      <c r="P277" s="142"/>
      <c r="Q277" s="163"/>
      <c r="R277" s="120"/>
      <c r="S277" s="110"/>
      <c r="T277" s="110"/>
    </row>
    <row r="278" spans="1:20" outlineLevel="1">
      <c r="A278" s="105"/>
      <c r="B278" s="106" t="s">
        <v>437</v>
      </c>
      <c r="C278" s="105"/>
      <c r="D278" s="107"/>
      <c r="E278" s="107"/>
      <c r="F278" s="108"/>
      <c r="G278" s="109"/>
      <c r="H278" s="110"/>
      <c r="I278" s="111"/>
      <c r="J278" s="112"/>
      <c r="K278" s="111"/>
      <c r="L278" s="112"/>
      <c r="M278" s="111"/>
      <c r="N278" s="112"/>
      <c r="O278" s="111"/>
      <c r="P278" s="112"/>
      <c r="Q278" s="113"/>
      <c r="R278" s="114"/>
      <c r="S278" s="115"/>
      <c r="T278" s="105"/>
    </row>
    <row r="279" spans="1:20" s="65" customFormat="1" ht="5.0999999999999996" customHeight="1" outlineLevel="1">
      <c r="A279" s="138" t="s">
        <v>301</v>
      </c>
      <c r="B279" s="138" t="s">
        <v>301</v>
      </c>
      <c r="C279" s="170"/>
      <c r="D279" s="108"/>
      <c r="E279" s="108"/>
      <c r="F279" s="108"/>
      <c r="G279" s="108"/>
      <c r="H279" s="110"/>
      <c r="I279" s="110"/>
      <c r="J279" s="143"/>
      <c r="K279" s="142"/>
      <c r="L279" s="143"/>
      <c r="M279" s="142"/>
      <c r="N279" s="143"/>
      <c r="O279" s="142"/>
      <c r="P279" s="143"/>
      <c r="Q279" s="163"/>
      <c r="R279" s="120"/>
      <c r="S279" s="110"/>
      <c r="T279" s="110"/>
    </row>
    <row r="280" spans="1:20" s="65" customFormat="1">
      <c r="A280" s="140" t="s">
        <v>437</v>
      </c>
      <c r="B280" s="138" t="s">
        <v>301</v>
      </c>
      <c r="C280" s="170"/>
      <c r="D280" s="110"/>
      <c r="E280" s="110"/>
      <c r="F280" s="107" t="s">
        <v>438</v>
      </c>
      <c r="G280" s="110"/>
      <c r="H280" s="110"/>
      <c r="I280" s="110"/>
      <c r="J280" s="141">
        <f>SUM(J278:J279)</f>
        <v>0</v>
      </c>
      <c r="K280" s="142"/>
      <c r="L280" s="141">
        <f>SUM(L278:L279)</f>
        <v>0</v>
      </c>
      <c r="M280" s="142"/>
      <c r="N280" s="141">
        <f>SUM(N278:N279)</f>
        <v>0</v>
      </c>
      <c r="O280" s="169">
        <f>IF(N$51=0,0,N280/N$51)</f>
        <v>0</v>
      </c>
      <c r="P280" s="141">
        <f>SUM(P278:P279)</f>
        <v>0</v>
      </c>
      <c r="Q280" s="113">
        <f>IF(P$57=0,0,P280/P$57)</f>
        <v>0</v>
      </c>
      <c r="R280" s="120"/>
      <c r="S280" s="110"/>
      <c r="T280" s="110"/>
    </row>
    <row r="281" spans="1:20" s="65" customFormat="1" outlineLevel="1">
      <c r="A281" s="138" t="s">
        <v>301</v>
      </c>
      <c r="B281" s="138" t="s">
        <v>301</v>
      </c>
      <c r="C281" s="170"/>
      <c r="D281" s="110"/>
      <c r="E281" s="110"/>
      <c r="F281" s="110"/>
      <c r="G281" s="110"/>
      <c r="H281" s="110"/>
      <c r="I281" s="110"/>
      <c r="J281" s="142"/>
      <c r="K281" s="142"/>
      <c r="L281" s="142"/>
      <c r="M281" s="142"/>
      <c r="N281" s="142"/>
      <c r="O281" s="142"/>
      <c r="P281" s="142"/>
      <c r="Q281" s="163"/>
      <c r="R281" s="120"/>
      <c r="S281" s="110"/>
      <c r="T281" s="110"/>
    </row>
    <row r="282" spans="1:20" outlineLevel="1">
      <c r="A282" s="105"/>
      <c r="B282" s="106" t="s">
        <v>439</v>
      </c>
      <c r="C282" s="105"/>
      <c r="D282" s="107"/>
      <c r="E282" s="107"/>
      <c r="F282" s="108"/>
      <c r="G282" s="109"/>
      <c r="H282" s="110"/>
      <c r="I282" s="111"/>
      <c r="J282" s="112"/>
      <c r="K282" s="111"/>
      <c r="L282" s="112"/>
      <c r="M282" s="111"/>
      <c r="N282" s="112"/>
      <c r="O282" s="111"/>
      <c r="P282" s="112"/>
      <c r="Q282" s="113"/>
      <c r="R282" s="114"/>
      <c r="S282" s="115"/>
      <c r="T282" s="105"/>
    </row>
    <row r="283" spans="1:20" s="65" customFormat="1" ht="5.0999999999999996" customHeight="1" outlineLevel="1">
      <c r="A283" s="138" t="s">
        <v>301</v>
      </c>
      <c r="B283" s="138" t="s">
        <v>301</v>
      </c>
      <c r="C283" s="170"/>
      <c r="D283" s="108"/>
      <c r="E283" s="108"/>
      <c r="F283" s="108"/>
      <c r="G283" s="108"/>
      <c r="H283" s="110"/>
      <c r="I283" s="110"/>
      <c r="J283" s="143"/>
      <c r="K283" s="142"/>
      <c r="L283" s="143"/>
      <c r="M283" s="142"/>
      <c r="N283" s="143"/>
      <c r="O283" s="142"/>
      <c r="P283" s="143"/>
      <c r="Q283" s="163"/>
      <c r="R283" s="120"/>
      <c r="S283" s="110"/>
      <c r="T283" s="110"/>
    </row>
    <row r="284" spans="1:20" s="65" customFormat="1">
      <c r="A284" s="140" t="s">
        <v>439</v>
      </c>
      <c r="B284" s="138" t="s">
        <v>301</v>
      </c>
      <c r="C284" s="170"/>
      <c r="D284" s="110"/>
      <c r="E284" s="110"/>
      <c r="F284" s="108" t="s">
        <v>440</v>
      </c>
      <c r="G284" s="110"/>
      <c r="H284" s="110"/>
      <c r="I284" s="110"/>
      <c r="J284" s="141">
        <f>SUM(J282:J283)</f>
        <v>0</v>
      </c>
      <c r="K284" s="142"/>
      <c r="L284" s="141">
        <f>SUM(L282:L283)</f>
        <v>0</v>
      </c>
      <c r="M284" s="142"/>
      <c r="N284" s="141">
        <f>SUM(N282:N283)</f>
        <v>0</v>
      </c>
      <c r="O284" s="169">
        <f>IF(N$51=0,0,N284/N$51)</f>
        <v>0</v>
      </c>
      <c r="P284" s="141">
        <f>SUM(P282:P283)</f>
        <v>0</v>
      </c>
      <c r="Q284" s="113">
        <f>IF(P$57=0,0,P284/P$57)</f>
        <v>0</v>
      </c>
      <c r="R284" s="120"/>
      <c r="S284" s="110"/>
      <c r="T284" s="110"/>
    </row>
    <row r="285" spans="1:20" s="65" customFormat="1" ht="6.75" customHeight="1">
      <c r="A285" s="138" t="s">
        <v>301</v>
      </c>
      <c r="B285" s="140" t="s">
        <v>301</v>
      </c>
      <c r="C285" s="105"/>
      <c r="D285" s="110"/>
      <c r="E285" s="110"/>
      <c r="F285" s="110"/>
      <c r="G285" s="110"/>
      <c r="H285" s="110"/>
      <c r="I285" s="110"/>
      <c r="J285" s="142"/>
      <c r="K285" s="142"/>
      <c r="L285" s="142"/>
      <c r="M285" s="142"/>
      <c r="N285" s="142"/>
      <c r="O285" s="142"/>
      <c r="P285" s="142"/>
      <c r="Q285" s="163"/>
      <c r="R285" s="120"/>
      <c r="S285" s="110"/>
      <c r="T285" s="110"/>
    </row>
    <row r="286" spans="1:20" s="65" customFormat="1">
      <c r="A286" s="138" t="s">
        <v>301</v>
      </c>
      <c r="B286" s="140" t="s">
        <v>301</v>
      </c>
      <c r="C286" s="105"/>
      <c r="D286" s="110"/>
      <c r="E286" s="145" t="s">
        <v>441</v>
      </c>
      <c r="F286" s="110"/>
      <c r="G286" s="110"/>
      <c r="H286" s="110"/>
      <c r="I286" s="110"/>
      <c r="J286" s="146">
        <f>+J272-J276-J280-J284</f>
        <v>37014.390000000014</v>
      </c>
      <c r="K286" s="142"/>
      <c r="L286" s="146">
        <f>+L272-L276-L280-L284</f>
        <v>34731.920000000006</v>
      </c>
      <c r="M286" s="142"/>
      <c r="N286" s="146">
        <f>+N272-N276-N280-N284</f>
        <v>3405.5899999999456</v>
      </c>
      <c r="O286" s="169">
        <f>IF(N$51=0,0,N286/N$51)</f>
        <v>0</v>
      </c>
      <c r="P286" s="146">
        <f>+P272-P276-P280-P284</f>
        <v>163989.10999999981</v>
      </c>
      <c r="Q286" s="113">
        <f>IF(P$57=0,0,P286/P$57)</f>
        <v>7.3980747379319561E-2</v>
      </c>
      <c r="R286" s="120"/>
      <c r="S286" s="110"/>
      <c r="T286" s="110"/>
    </row>
    <row r="287" spans="1:20" s="65" customFormat="1" ht="6.75" customHeight="1">
      <c r="A287" s="140" t="s">
        <v>301</v>
      </c>
      <c r="B287" s="140" t="s">
        <v>301</v>
      </c>
      <c r="C287" s="105"/>
      <c r="D287" s="110"/>
      <c r="E287" s="110"/>
      <c r="F287" s="110"/>
      <c r="G287" s="110"/>
      <c r="H287" s="110"/>
      <c r="I287" s="110"/>
      <c r="J287" s="142"/>
      <c r="K287" s="142"/>
      <c r="L287" s="142"/>
      <c r="M287" s="142"/>
      <c r="N287" s="142"/>
      <c r="O287" s="142"/>
      <c r="P287" s="142"/>
      <c r="Q287" s="163"/>
      <c r="R287" s="120"/>
      <c r="S287" s="110"/>
      <c r="T287" s="110"/>
    </row>
    <row r="288" spans="1:20" s="66" customFormat="1" outlineLevel="1">
      <c r="A288" s="140"/>
      <c r="B288" s="171" t="s">
        <v>442</v>
      </c>
      <c r="C288" s="151"/>
      <c r="D288" s="151"/>
      <c r="E288" s="151"/>
      <c r="F288" s="151"/>
      <c r="G288" s="151"/>
      <c r="H288" s="151"/>
      <c r="I288" s="151"/>
      <c r="J288" s="151"/>
      <c r="K288" s="151"/>
      <c r="L288" s="151"/>
      <c r="M288" s="151"/>
      <c r="N288" s="151"/>
      <c r="O288" s="151"/>
      <c r="P288" s="151"/>
      <c r="Q288" s="153"/>
      <c r="R288" s="151"/>
      <c r="S288" s="151"/>
      <c r="T288" s="151"/>
    </row>
    <row r="289" spans="1:20" s="65" customFormat="1" ht="5.0999999999999996" customHeight="1" outlineLevel="1">
      <c r="A289" s="140" t="s">
        <v>301</v>
      </c>
      <c r="B289" s="138" t="s">
        <v>301</v>
      </c>
      <c r="C289" s="170"/>
      <c r="D289" s="108"/>
      <c r="E289" s="108"/>
      <c r="F289" s="108"/>
      <c r="G289" s="108"/>
      <c r="H289" s="110"/>
      <c r="I289" s="110"/>
      <c r="J289" s="143"/>
      <c r="K289" s="142"/>
      <c r="L289" s="143"/>
      <c r="M289" s="142"/>
      <c r="N289" s="143"/>
      <c r="O289" s="142"/>
      <c r="P289" s="143"/>
      <c r="Q289" s="163"/>
      <c r="R289" s="120"/>
      <c r="S289" s="110"/>
      <c r="T289" s="110"/>
    </row>
    <row r="290" spans="1:20" s="65" customFormat="1">
      <c r="A290" s="172" t="s">
        <v>442</v>
      </c>
      <c r="B290" s="138" t="s">
        <v>301</v>
      </c>
      <c r="C290" s="170"/>
      <c r="D290" s="110"/>
      <c r="E290" s="110"/>
      <c r="F290" s="107" t="s">
        <v>443</v>
      </c>
      <c r="G290" s="110"/>
      <c r="H290" s="110"/>
      <c r="I290" s="110"/>
      <c r="J290" s="141">
        <f>SUM(J288:J289)</f>
        <v>0</v>
      </c>
      <c r="K290" s="142"/>
      <c r="L290" s="141">
        <f>SUM(L288:L289)</f>
        <v>0</v>
      </c>
      <c r="M290" s="142"/>
      <c r="N290" s="141">
        <f>SUM(N288:N289)</f>
        <v>0</v>
      </c>
      <c r="O290" s="169">
        <f>IF(N$51=0,0,N290/N$51)</f>
        <v>0</v>
      </c>
      <c r="P290" s="141">
        <f>SUM(P288:P289)</f>
        <v>0</v>
      </c>
      <c r="Q290" s="113">
        <f>IF(P$57=0,0,P290/P$57)</f>
        <v>0</v>
      </c>
      <c r="R290" s="120"/>
      <c r="S290" s="110"/>
      <c r="T290" s="110"/>
    </row>
    <row r="291" spans="1:20" s="65" customFormat="1" ht="6.75" customHeight="1">
      <c r="A291" s="138" t="s">
        <v>301</v>
      </c>
      <c r="B291" s="140" t="s">
        <v>301</v>
      </c>
      <c r="C291" s="105"/>
      <c r="D291" s="110"/>
      <c r="E291" s="110"/>
      <c r="F291" s="110"/>
      <c r="G291" s="110"/>
      <c r="H291" s="110"/>
      <c r="I291" s="110"/>
      <c r="J291" s="142"/>
      <c r="K291" s="142"/>
      <c r="L291" s="142"/>
      <c r="M291" s="142"/>
      <c r="N291" s="142"/>
      <c r="O291" s="142"/>
      <c r="P291" s="142"/>
      <c r="Q291" s="163"/>
      <c r="R291" s="120"/>
      <c r="S291" s="110"/>
      <c r="T291" s="110"/>
    </row>
    <row r="292" spans="1:20" s="65" customFormat="1">
      <c r="A292" s="138" t="s">
        <v>301</v>
      </c>
      <c r="B292" s="138" t="s">
        <v>301</v>
      </c>
      <c r="C292" s="170"/>
      <c r="D292" s="110"/>
      <c r="E292" s="145" t="s">
        <v>444</v>
      </c>
      <c r="F292" s="110"/>
      <c r="G292" s="110"/>
      <c r="H292" s="110"/>
      <c r="I292" s="110"/>
      <c r="J292" s="146">
        <f>+J286-J290</f>
        <v>37014.390000000014</v>
      </c>
      <c r="K292" s="142"/>
      <c r="L292" s="146">
        <f>+L286-L290</f>
        <v>34731.920000000006</v>
      </c>
      <c r="M292" s="142"/>
      <c r="N292" s="146">
        <f>+N286-N290</f>
        <v>3405.5899999999456</v>
      </c>
      <c r="O292" s="169">
        <f>IF(N$51=0,0,N292/N$51)</f>
        <v>0</v>
      </c>
      <c r="P292" s="146">
        <f>+P286-P290</f>
        <v>163989.10999999981</v>
      </c>
      <c r="Q292" s="113">
        <f>IF(P$57=0,0,P292/P$57)</f>
        <v>7.3980747379319561E-2</v>
      </c>
      <c r="R292" s="120"/>
      <c r="S292" s="110"/>
      <c r="T292" s="110"/>
    </row>
    <row r="293" spans="1:20" ht="6.75" customHeight="1">
      <c r="A293" s="140" t="s">
        <v>301</v>
      </c>
      <c r="B293" s="140" t="s">
        <v>301</v>
      </c>
      <c r="C293" s="105"/>
      <c r="D293" s="105"/>
      <c r="E293" s="105"/>
      <c r="F293" s="105"/>
      <c r="G293" s="105"/>
      <c r="H293" s="105"/>
      <c r="I293" s="105"/>
      <c r="J293" s="173"/>
      <c r="K293" s="173"/>
      <c r="L293" s="173"/>
      <c r="M293" s="173"/>
      <c r="N293" s="173"/>
      <c r="O293" s="142"/>
      <c r="P293" s="173"/>
      <c r="Q293" s="163"/>
      <c r="R293" s="120"/>
      <c r="S293" s="105"/>
      <c r="T293" s="105"/>
    </row>
    <row r="294" spans="1:20" outlineLevel="1">
      <c r="A294" s="138"/>
      <c r="B294" s="174" t="s">
        <v>445</v>
      </c>
      <c r="C294" s="105"/>
      <c r="D294" s="107"/>
      <c r="E294" s="107"/>
      <c r="F294" s="108"/>
      <c r="G294" s="109"/>
      <c r="H294" s="110"/>
      <c r="I294" s="111"/>
      <c r="J294" s="112"/>
      <c r="K294" s="111"/>
      <c r="L294" s="112"/>
      <c r="M294" s="111"/>
      <c r="N294" s="112"/>
      <c r="O294" s="111"/>
      <c r="P294" s="112"/>
      <c r="Q294" s="113"/>
      <c r="R294" s="114"/>
      <c r="S294" s="115"/>
      <c r="T294" s="105"/>
    </row>
    <row r="295" spans="1:20" s="65" customFormat="1" ht="5.0999999999999996" customHeight="1" outlineLevel="1">
      <c r="A295" s="140" t="s">
        <v>301</v>
      </c>
      <c r="B295" s="138" t="s">
        <v>301</v>
      </c>
      <c r="C295" s="170"/>
      <c r="D295" s="108"/>
      <c r="E295" s="108"/>
      <c r="F295" s="108"/>
      <c r="G295" s="108"/>
      <c r="H295" s="110"/>
      <c r="I295" s="110"/>
      <c r="J295" s="143"/>
      <c r="K295" s="142"/>
      <c r="L295" s="143"/>
      <c r="M295" s="142"/>
      <c r="N295" s="143"/>
      <c r="O295" s="142"/>
      <c r="P295" s="143"/>
      <c r="Q295" s="163"/>
      <c r="R295" s="120"/>
      <c r="S295" s="110"/>
      <c r="T295" s="110"/>
    </row>
    <row r="296" spans="1:20" s="65" customFormat="1">
      <c r="A296" s="140" t="s">
        <v>445</v>
      </c>
      <c r="B296" s="138"/>
      <c r="C296" s="170"/>
      <c r="D296" s="110"/>
      <c r="E296" s="110"/>
      <c r="F296" s="107" t="s">
        <v>446</v>
      </c>
      <c r="G296" s="110"/>
      <c r="H296" s="110"/>
      <c r="I296" s="110"/>
      <c r="J296" s="141">
        <f>SUM(J294:J295)</f>
        <v>0</v>
      </c>
      <c r="K296" s="142"/>
      <c r="L296" s="141">
        <f>SUM(L294:L295)</f>
        <v>0</v>
      </c>
      <c r="M296" s="142"/>
      <c r="N296" s="141">
        <f>SUM(N294:N295)</f>
        <v>0</v>
      </c>
      <c r="O296" s="169">
        <f>IF(N$51=0,0,N296/N$51)</f>
        <v>0</v>
      </c>
      <c r="P296" s="141">
        <f>SUM(P294:P295)</f>
        <v>0</v>
      </c>
      <c r="Q296" s="113">
        <f>IF(P$57=0,0,P296/P$57)</f>
        <v>0</v>
      </c>
      <c r="R296" s="120"/>
      <c r="S296" s="110"/>
      <c r="T296" s="110"/>
    </row>
    <row r="297" spans="1:20" s="65" customFormat="1" ht="6.75" customHeight="1">
      <c r="A297" s="138" t="s">
        <v>301</v>
      </c>
      <c r="B297" s="138"/>
      <c r="C297" s="170"/>
      <c r="D297" s="110"/>
      <c r="E297" s="110"/>
      <c r="F297" s="110"/>
      <c r="G297" s="110"/>
      <c r="H297" s="110"/>
      <c r="I297" s="110"/>
      <c r="J297" s="142"/>
      <c r="K297" s="142"/>
      <c r="L297" s="142"/>
      <c r="M297" s="142"/>
      <c r="N297" s="142"/>
      <c r="O297" s="142"/>
      <c r="P297" s="142"/>
      <c r="Q297" s="163"/>
      <c r="R297" s="120"/>
      <c r="S297" s="110"/>
      <c r="T297" s="110"/>
    </row>
    <row r="298" spans="1:20" s="65" customFormat="1">
      <c r="A298" s="138"/>
      <c r="B298" s="140"/>
      <c r="C298" s="105"/>
      <c r="D298" s="110"/>
      <c r="E298" s="145" t="s">
        <v>447</v>
      </c>
      <c r="F298" s="110"/>
      <c r="G298" s="110"/>
      <c r="H298" s="110"/>
      <c r="I298" s="110"/>
      <c r="J298" s="146">
        <f>+J292-J296</f>
        <v>37014.390000000014</v>
      </c>
      <c r="K298" s="142"/>
      <c r="L298" s="146">
        <f>+L292-L296</f>
        <v>34731.920000000006</v>
      </c>
      <c r="M298" s="142"/>
      <c r="N298" s="146">
        <f>+N292-N296</f>
        <v>3405.5899999999456</v>
      </c>
      <c r="O298" s="169">
        <f>IF(N$51=0,0,N298/N$51)</f>
        <v>0</v>
      </c>
      <c r="P298" s="146">
        <f>+P292-P296</f>
        <v>163989.10999999981</v>
      </c>
      <c r="Q298" s="113">
        <f>IF(P$57=0,0,P298/P$57)</f>
        <v>7.3980747379319561E-2</v>
      </c>
      <c r="R298" s="120"/>
      <c r="S298" s="110"/>
      <c r="T298" s="110"/>
    </row>
    <row r="299" spans="1:20" s="65" customFormat="1" ht="6.75" customHeight="1">
      <c r="A299" s="138"/>
      <c r="B299" s="138"/>
      <c r="C299" s="170"/>
      <c r="D299" s="110"/>
      <c r="E299" s="110"/>
      <c r="F299" s="110"/>
      <c r="G299" s="110"/>
      <c r="H299" s="110"/>
      <c r="I299" s="110"/>
      <c r="J299" s="142"/>
      <c r="K299" s="142"/>
      <c r="L299" s="142"/>
      <c r="M299" s="142"/>
      <c r="N299" s="142"/>
      <c r="O299" s="142"/>
      <c r="P299" s="142"/>
      <c r="Q299" s="163"/>
      <c r="R299" s="120"/>
      <c r="S299" s="110"/>
      <c r="T299" s="110"/>
    </row>
    <row r="300" spans="1:20" outlineLevel="1">
      <c r="A300" s="105"/>
      <c r="B300" s="106" t="s">
        <v>448</v>
      </c>
      <c r="C300" s="105"/>
      <c r="D300" s="107"/>
      <c r="E300" s="107"/>
      <c r="F300" s="108"/>
      <c r="G300" s="109"/>
      <c r="H300" s="110"/>
      <c r="I300" s="111"/>
      <c r="J300" s="112"/>
      <c r="K300" s="111"/>
      <c r="L300" s="112"/>
      <c r="M300" s="111"/>
      <c r="N300" s="112"/>
      <c r="O300" s="111"/>
      <c r="P300" s="112"/>
      <c r="Q300" s="113"/>
      <c r="R300" s="114"/>
      <c r="S300" s="115"/>
      <c r="T300" s="105"/>
    </row>
    <row r="301" spans="1:20" s="65" customFormat="1" ht="5.0999999999999996" customHeight="1" outlineLevel="1">
      <c r="A301" s="138"/>
      <c r="B301" s="138" t="s">
        <v>301</v>
      </c>
      <c r="C301" s="170"/>
      <c r="D301" s="108"/>
      <c r="E301" s="108"/>
      <c r="F301" s="108"/>
      <c r="G301" s="108"/>
      <c r="H301" s="110"/>
      <c r="I301" s="110"/>
      <c r="J301" s="143"/>
      <c r="K301" s="142"/>
      <c r="L301" s="143"/>
      <c r="M301" s="142"/>
      <c r="N301" s="143"/>
      <c r="O301" s="142"/>
      <c r="P301" s="143"/>
      <c r="Q301" s="163"/>
      <c r="R301" s="120"/>
      <c r="S301" s="110"/>
      <c r="T301" s="110"/>
    </row>
    <row r="302" spans="1:20" s="65" customFormat="1">
      <c r="A302" s="140" t="s">
        <v>448</v>
      </c>
      <c r="B302" s="138" t="s">
        <v>301</v>
      </c>
      <c r="C302" s="170"/>
      <c r="D302" s="110"/>
      <c r="E302" s="110"/>
      <c r="F302" s="107" t="s">
        <v>449</v>
      </c>
      <c r="G302" s="110"/>
      <c r="H302" s="110"/>
      <c r="I302" s="110"/>
      <c r="J302" s="141">
        <f>SUM(J300:J301)</f>
        <v>0</v>
      </c>
      <c r="K302" s="142"/>
      <c r="L302" s="141">
        <f>SUM(L300:L301)</f>
        <v>0</v>
      </c>
      <c r="M302" s="142"/>
      <c r="N302" s="141">
        <f>SUM(N300:N301)</f>
        <v>0</v>
      </c>
      <c r="O302" s="169">
        <f>IF(N$51=0,0,N302/N$51)</f>
        <v>0</v>
      </c>
      <c r="P302" s="141">
        <f>SUM(P300:P301)</f>
        <v>0</v>
      </c>
      <c r="Q302" s="113">
        <f>IF(P$57=0,0,P302/P$57)</f>
        <v>0</v>
      </c>
      <c r="R302" s="120"/>
      <c r="S302" s="110"/>
      <c r="T302" s="110"/>
    </row>
    <row r="303" spans="1:20" s="65" customFormat="1" ht="6.75" customHeight="1">
      <c r="A303" s="138" t="s">
        <v>301</v>
      </c>
      <c r="B303" s="138"/>
      <c r="C303" s="170"/>
      <c r="D303" s="110"/>
      <c r="E303" s="110"/>
      <c r="F303" s="110"/>
      <c r="G303" s="110"/>
      <c r="H303" s="110"/>
      <c r="I303" s="110"/>
      <c r="J303" s="142"/>
      <c r="K303" s="142"/>
      <c r="L303" s="142"/>
      <c r="M303" s="142"/>
      <c r="N303" s="142"/>
      <c r="O303" s="142"/>
      <c r="P303" s="142"/>
      <c r="Q303" s="163"/>
      <c r="R303" s="120"/>
      <c r="S303" s="110"/>
      <c r="T303" s="110"/>
    </row>
    <row r="304" spans="1:20" s="65" customFormat="1" ht="13.5" thickBot="1">
      <c r="A304" s="138" t="s">
        <v>301</v>
      </c>
      <c r="B304" s="140"/>
      <c r="C304" s="105"/>
      <c r="D304" s="110"/>
      <c r="E304" s="145" t="s">
        <v>450</v>
      </c>
      <c r="F304" s="110"/>
      <c r="G304" s="110"/>
      <c r="H304" s="110"/>
      <c r="I304" s="110"/>
      <c r="J304" s="175">
        <f>+J298-J302</f>
        <v>37014.390000000014</v>
      </c>
      <c r="K304" s="142"/>
      <c r="L304" s="175">
        <f>+L298-L302</f>
        <v>34731.920000000006</v>
      </c>
      <c r="M304" s="142"/>
      <c r="N304" s="175">
        <f>+N298-N302</f>
        <v>3405.5899999999456</v>
      </c>
      <c r="O304" s="169">
        <f>IF(N$51=0,0,N304/N$51)</f>
        <v>0</v>
      </c>
      <c r="P304" s="175">
        <f>+P298-P302</f>
        <v>163989.10999999981</v>
      </c>
      <c r="Q304" s="113">
        <f>IF(P$57=0,0,P304/P$57)</f>
        <v>7.3980747379319561E-2</v>
      </c>
      <c r="R304" s="120"/>
      <c r="S304" s="110"/>
      <c r="T304" s="110"/>
    </row>
    <row r="305" spans="1:20" s="77" customFormat="1" ht="13.5" thickTop="1">
      <c r="A305" s="138"/>
      <c r="B305" s="138"/>
      <c r="C305" s="170"/>
      <c r="D305" s="110"/>
      <c r="E305" s="110"/>
      <c r="F305" s="107"/>
      <c r="G305" s="110"/>
      <c r="H305" s="105"/>
      <c r="I305" s="105"/>
      <c r="J305" s="176"/>
      <c r="K305" s="105"/>
      <c r="L305" s="176"/>
      <c r="M305" s="120"/>
      <c r="N305" s="176"/>
      <c r="O305" s="120"/>
      <c r="P305" s="176"/>
      <c r="Q305" s="177"/>
      <c r="R305" s="105"/>
      <c r="S305" s="176"/>
      <c r="T305" s="176"/>
    </row>
    <row r="306" spans="1:20" outlineLevel="1">
      <c r="A306" s="140"/>
      <c r="B306" s="178" t="s">
        <v>451</v>
      </c>
      <c r="C306" s="131"/>
      <c r="D306" s="131"/>
      <c r="E306" s="131"/>
      <c r="F306" s="131"/>
      <c r="G306" s="131"/>
      <c r="H306" s="131"/>
      <c r="I306" s="131"/>
      <c r="J306" s="131"/>
      <c r="K306" s="131"/>
      <c r="L306" s="131"/>
      <c r="M306" s="105"/>
      <c r="N306" s="131"/>
      <c r="O306" s="105"/>
      <c r="P306" s="131"/>
      <c r="Q306" s="179"/>
      <c r="R306" s="105"/>
      <c r="S306" s="105"/>
      <c r="T306" s="105"/>
    </row>
    <row r="307" spans="1:20" ht="6" customHeight="1" outlineLevel="1">
      <c r="A307" s="138"/>
      <c r="B307" s="140"/>
      <c r="C307" s="105"/>
      <c r="D307" s="105"/>
      <c r="E307" s="105"/>
      <c r="F307" s="105"/>
      <c r="G307" s="105"/>
      <c r="H307" s="105"/>
      <c r="I307" s="105"/>
      <c r="J307" s="143"/>
      <c r="K307" s="142"/>
      <c r="L307" s="143"/>
      <c r="M307" s="142"/>
      <c r="N307" s="143"/>
      <c r="O307" s="142"/>
      <c r="P307" s="143"/>
      <c r="Q307" s="179"/>
      <c r="R307" s="105"/>
      <c r="S307" s="105"/>
      <c r="T307" s="105"/>
    </row>
    <row r="308" spans="1:20" s="64" customFormat="1">
      <c r="A308" s="180" t="s">
        <v>451</v>
      </c>
      <c r="B308" s="181"/>
      <c r="C308" s="173"/>
      <c r="D308" s="173"/>
      <c r="E308" s="173" t="s">
        <v>452</v>
      </c>
      <c r="F308" s="173"/>
      <c r="G308" s="173"/>
      <c r="H308" s="173"/>
      <c r="I308" s="173"/>
      <c r="J308" s="182">
        <f>SUM(J306:J307)</f>
        <v>0</v>
      </c>
      <c r="K308" s="183"/>
      <c r="L308" s="182">
        <f>SUM(L306:L307)</f>
        <v>0</v>
      </c>
      <c r="M308" s="183"/>
      <c r="N308" s="182">
        <f>SUM(N306:N307)</f>
        <v>0</v>
      </c>
      <c r="O308" s="184"/>
      <c r="P308" s="182">
        <f>SUM(P306:P307)</f>
        <v>0</v>
      </c>
      <c r="Q308" s="185"/>
      <c r="R308" s="173"/>
      <c r="S308" s="173"/>
      <c r="T308" s="173"/>
    </row>
    <row r="309" spans="1:20">
      <c r="A309" s="186"/>
      <c r="B309" s="140"/>
      <c r="C309" s="105"/>
      <c r="D309" s="105"/>
      <c r="E309" s="105"/>
      <c r="F309" s="105"/>
      <c r="G309" s="105"/>
      <c r="H309" s="105"/>
      <c r="I309" s="105"/>
      <c r="J309" s="170"/>
      <c r="K309" s="170"/>
      <c r="L309" s="170"/>
      <c r="M309" s="170"/>
      <c r="N309" s="170"/>
      <c r="O309" s="170"/>
      <c r="P309" s="170"/>
      <c r="Q309" s="187"/>
      <c r="R309" s="170"/>
      <c r="S309" s="170"/>
      <c r="T309" s="105"/>
    </row>
    <row r="310" spans="1:20">
      <c r="A310" s="186"/>
      <c r="B310" s="138"/>
      <c r="C310" s="170"/>
      <c r="D310" s="108"/>
      <c r="E310" s="108"/>
      <c r="F310" s="108"/>
      <c r="G310" s="108"/>
      <c r="H310" s="105"/>
      <c r="I310" s="105"/>
      <c r="J310" s="176"/>
      <c r="K310" s="105"/>
      <c r="L310" s="176"/>
      <c r="M310" s="120"/>
      <c r="N310" s="176"/>
      <c r="O310" s="120"/>
      <c r="P310" s="176"/>
      <c r="Q310" s="179"/>
      <c r="R310" s="105"/>
      <c r="S310" s="105"/>
      <c r="T310" s="105"/>
    </row>
  </sheetData>
  <pageMargins left="0.15" right="0.2" top="0.25" bottom="0.25" header="0.18" footer="0.25"/>
  <pageSetup scale="71" fitToHeight="0" orientation="portrait" errors="blank" horizontalDpi="4294967292" r:id="rId1"/>
  <headerFooter alignWithMargins="0">
    <oddFooter>&amp;L&amp;F - &amp;A&amp;CPrinted &amp;D - &amp;T&amp;RPage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T313"/>
  <sheetViews>
    <sheetView showGridLines="0" topLeftCell="D7" zoomScale="75" zoomScaleNormal="75" workbookViewId="0">
      <pane xSplit="5" ySplit="5" topLeftCell="I12" activePane="bottomRight" state="frozen"/>
      <selection activeCell="D7" sqref="D7"/>
      <selection pane="topRight" activeCell="I7" sqref="I7"/>
      <selection pane="bottomLeft" activeCell="D12" sqref="D12"/>
      <selection pane="bottomRight" activeCell="Z25" sqref="Z25"/>
    </sheetView>
  </sheetViews>
  <sheetFormatPr defaultColWidth="13.85546875" defaultRowHeight="12.75" outlineLevelRow="1"/>
  <cols>
    <col min="1" max="1" width="110.28515625" style="61" customWidth="1"/>
    <col min="2" max="2" width="18.42578125" style="61" customWidth="1"/>
    <col min="3" max="3" width="13.85546875" style="61"/>
    <col min="4" max="4" width="6.85546875" style="61" customWidth="1"/>
    <col min="5" max="6" width="2.28515625" style="61" customWidth="1"/>
    <col min="7" max="7" width="28" style="61" customWidth="1"/>
    <col min="8" max="8" width="2.28515625" style="61" customWidth="1"/>
    <col min="9" max="9" width="2.140625" style="61" customWidth="1"/>
    <col min="10" max="10" width="12.28515625" style="77" customWidth="1"/>
    <col min="11" max="11" width="0.85546875" style="61" customWidth="1"/>
    <col min="12" max="12" width="12.28515625" style="77" customWidth="1"/>
    <col min="13" max="13" width="1.5703125" style="61" customWidth="1"/>
    <col min="14" max="14" width="12.28515625" style="77" customWidth="1"/>
    <col min="15" max="15" width="1.5703125" style="61" customWidth="1"/>
    <col min="16" max="16" width="12.28515625" style="77" customWidth="1"/>
    <col min="17" max="17" width="5.28515625" style="61" customWidth="1"/>
    <col min="18" max="18" width="1.42578125" style="61" customWidth="1"/>
    <col min="19" max="19" width="1.28515625" style="61" customWidth="1"/>
    <col min="20" max="16384" width="13.85546875" style="61"/>
  </cols>
  <sheetData>
    <row r="1" spans="1:20">
      <c r="D1" s="61" t="s">
        <v>291</v>
      </c>
      <c r="E1" s="61" t="s">
        <v>292</v>
      </c>
      <c r="F1" s="62"/>
      <c r="G1" s="63"/>
      <c r="J1" s="61" t="s">
        <v>293</v>
      </c>
      <c r="L1" s="61" t="s">
        <v>294</v>
      </c>
      <c r="N1" s="61" t="s">
        <v>295</v>
      </c>
      <c r="P1" s="64" t="s">
        <v>525</v>
      </c>
    </row>
    <row r="2" spans="1:20" outlineLevel="1">
      <c r="A2" s="105"/>
      <c r="B2" s="106"/>
      <c r="C2" s="105"/>
      <c r="D2" s="107"/>
      <c r="E2" s="107"/>
      <c r="F2" s="108"/>
      <c r="G2" s="109"/>
      <c r="H2" s="110"/>
      <c r="I2" s="111"/>
      <c r="J2" s="112">
        <v>0</v>
      </c>
      <c r="K2" s="111"/>
      <c r="L2" s="112">
        <v>0</v>
      </c>
      <c r="M2" s="111"/>
      <c r="N2" s="112">
        <v>0</v>
      </c>
      <c r="O2" s="111"/>
      <c r="P2" s="112">
        <v>0</v>
      </c>
      <c r="Q2" s="113">
        <f>IF(P$57=0,0,P2/P$57)</f>
        <v>0</v>
      </c>
      <c r="R2" s="114"/>
      <c r="S2" s="115"/>
      <c r="T2" s="105"/>
    </row>
    <row r="3" spans="1:20">
      <c r="D3" s="66"/>
      <c r="E3" s="66"/>
      <c r="F3" s="66"/>
      <c r="G3" s="66"/>
      <c r="H3" s="66"/>
      <c r="I3" s="66"/>
      <c r="J3" s="61" t="str">
        <f>TEXT(EDATE(DATEVALUE(RIGHT($N$3,2)&amp;"/1/"&amp;LEFT($N$3,4)),-2),"yyyy-mm")</f>
        <v>2015-10</v>
      </c>
      <c r="L3" s="61" t="str">
        <f>TEXT(EDATE(DATEVALUE(RIGHT($N$3,2)&amp;"/1/"&amp;LEFT($N$3,4)),-1),"yyyy-mm")</f>
        <v>2015-11</v>
      </c>
      <c r="N3" s="61" t="str">
        <f>D9</f>
        <v>2015-12</v>
      </c>
      <c r="P3" s="61"/>
    </row>
    <row r="4" spans="1:20">
      <c r="A4" s="61" t="str">
        <f>_xll.jBinder("MarkerCell")</f>
        <v>jBinderOption{MarkerCell}: This cell will be used to note the tab was created from the binder.</v>
      </c>
      <c r="B4" s="67" t="str">
        <f ca="1">_xll.ReportVariable("FinCube",B13:B313,1:1,2:2,_xll.Param("PL"&amp;IF(ExcludeIC=TRUE,",!Eliminated",""),District,System,,,,"*",,RIGHT(YearMonth,2),LEFT(YearMonth,4),,,1,,FALSE))</f>
        <v>OK!: ReportVariable Formula OK [jAction{}]</v>
      </c>
      <c r="D4" s="66"/>
      <c r="E4" s="66"/>
      <c r="F4" s="66"/>
      <c r="G4" s="66"/>
      <c r="H4" s="66"/>
      <c r="I4" s="66"/>
      <c r="J4" s="61" t="s">
        <v>296</v>
      </c>
      <c r="L4" s="61" t="s">
        <v>296</v>
      </c>
      <c r="N4" s="61" t="s">
        <v>296</v>
      </c>
      <c r="P4" s="61"/>
    </row>
    <row r="5" spans="1:20" ht="15">
      <c r="A5" s="61" t="str">
        <f>_xll.jBinder("ChooseSegmentListtoIterateThru","Dist")</f>
        <v>jBinderOption{ChooseSegmentListtoIterateThru|Dist}: Option "ChooseSegmentListtoIterateThru" has value "Dist"</v>
      </c>
      <c r="B5" s="61" t="str">
        <f ca="1">_xll.ReportDrill(,"JEQuery_WithStaged",_xll.PairGroup(_xll.PairExt("C:d","Accounts"),_xll.PairExt(System,"Systems","N"),_xll.PairExt("R:3","DateFrom","Y"),_xll.PairExt("R:3","DateTo","Y"),_xll.PairExt(District,"Districts"),_xll.PairExt("","SubSystems","n"),_xll.PairExt("","VendorCode","n"),_xll.PairExt("","AmountFrom","N"),_xll.PairExt("","AmountTo","n"),_xll.PairExt("R:4","Posting","Y")),"Drill To JEQuery")</f>
        <v>OK!: ReportDrill 'Drill To JEQuery' Formula OK [jAction{}]</v>
      </c>
      <c r="G5" s="68"/>
      <c r="J5" s="61"/>
      <c r="L5" s="61"/>
      <c r="N5" s="61"/>
      <c r="P5" s="61"/>
    </row>
    <row r="6" spans="1:20">
      <c r="A6" s="61" t="str">
        <f>_xll.jBinder("CreateSummaryTab","False")</f>
        <v>jBinderOption{CreateSummaryTab|False}: Option "CreateSummaryTab" has value "False"</v>
      </c>
      <c r="B6" s="116" t="str">
        <f ca="1">_xll.ReportDrill(,"JEQuery_WithStaged",_xll.PairGroup(_xll.PairExt("C:a","Accounts"),_xll.PairExt(System,"Systems","N"),_xll.PairExt("R:3","DateFrom","Y"),_xll.PairExt("R:3","DateTo","Y"),_xll.PairExt(District,"Districts"),_xll.PairExt("","SubSystems","n"),_xll.PairExt("","VendorCode","n"),_xll.PairExt("","AmountFrom","N"),_xll.PairExt("","AmountTo","n"),_xll.PairExt("R:4","Posting","Y")),"Drill To JEQuery")</f>
        <v>OK!: ReportDrill 'Drill To JEQuery' Formula OK [jAction{}]</v>
      </c>
      <c r="J6" s="61"/>
      <c r="L6" s="61"/>
      <c r="N6" s="61"/>
      <c r="P6" s="61"/>
    </row>
    <row r="7" spans="1:20" s="70" customFormat="1" ht="15.75">
      <c r="A7" s="61" t="str">
        <f ca="1">_xll.jBinder("Dist",District)</f>
        <v>jBinderOption{Dist||N7}: "Dist" can iterate on cell "N7"</v>
      </c>
      <c r="B7" s="117">
        <f>DATEVALUE(RIGHT(YearMonth,2)&amp;"/1/"&amp;LEFT(YearMonth,4))</f>
        <v>42339</v>
      </c>
      <c r="C7" s="61"/>
      <c r="D7" s="69" t="s">
        <v>297</v>
      </c>
      <c r="M7" s="71" t="s">
        <v>298</v>
      </c>
      <c r="N7" s="73" t="s">
        <v>299</v>
      </c>
      <c r="P7" s="72"/>
    </row>
    <row r="8" spans="1:20" s="70" customFormat="1" ht="15.75">
      <c r="A8" s="61" t="str">
        <f>_xll.jBinder("TabSuffix","_IS210")</f>
        <v>jBinderOption{TabSuffix|_IS210}: Option "TabSuffix" has value "_IS210"</v>
      </c>
      <c r="B8" s="117">
        <f>DATEVALUE("1/1/"&amp;LEFT(YearMonth,4))</f>
        <v>42005</v>
      </c>
      <c r="D8" s="69" t="s">
        <v>300</v>
      </c>
      <c r="N8" s="73" t="s">
        <v>301</v>
      </c>
      <c r="T8" s="118"/>
    </row>
    <row r="9" spans="1:20" s="70" customFormat="1" ht="15.75">
      <c r="A9" s="61"/>
      <c r="D9" s="74" t="s">
        <v>552</v>
      </c>
      <c r="J9" s="119" t="s">
        <v>527</v>
      </c>
      <c r="K9" s="75"/>
      <c r="L9" s="119" t="s">
        <v>527</v>
      </c>
      <c r="M9" s="75"/>
      <c r="N9" s="119" t="s">
        <v>527</v>
      </c>
      <c r="O9" s="75"/>
      <c r="P9" s="75"/>
      <c r="Q9" s="75"/>
      <c r="R9" s="75"/>
    </row>
    <row r="10" spans="1:20" s="70" customFormat="1" ht="15">
      <c r="A10" s="105"/>
      <c r="B10" s="120"/>
      <c r="C10" s="120"/>
      <c r="D10" s="120"/>
      <c r="E10" s="120"/>
      <c r="F10" s="120"/>
      <c r="G10" s="120"/>
      <c r="H10" s="120"/>
      <c r="I10" s="120"/>
      <c r="J10" s="121" t="s">
        <v>302</v>
      </c>
      <c r="K10" s="122"/>
      <c r="L10" s="121"/>
      <c r="M10" s="122"/>
      <c r="N10" s="123"/>
      <c r="O10" s="122"/>
      <c r="P10" s="121"/>
      <c r="Q10" s="124"/>
      <c r="R10" s="120"/>
      <c r="S10" s="120"/>
      <c r="T10" s="120"/>
    </row>
    <row r="11" spans="1:20" s="70" customFormat="1" ht="15.75" thickBot="1">
      <c r="A11" s="105"/>
      <c r="B11" s="125" t="s">
        <v>303</v>
      </c>
      <c r="C11" s="120"/>
      <c r="D11" s="120"/>
      <c r="E11" s="120"/>
      <c r="F11" s="120"/>
      <c r="G11" s="120"/>
      <c r="H11" s="120"/>
      <c r="I11" s="120"/>
      <c r="J11" s="126">
        <f>IFERROR(EDATE($B$7,-2),"")</f>
        <v>42278</v>
      </c>
      <c r="K11" s="127"/>
      <c r="L11" s="126">
        <f>IFERROR(EDATE($B$7,-1),"")</f>
        <v>42309</v>
      </c>
      <c r="M11" s="127"/>
      <c r="N11" s="126">
        <f>IFERROR($B$7,"")</f>
        <v>42339</v>
      </c>
      <c r="O11" s="128"/>
      <c r="P11" s="129" t="s">
        <v>528</v>
      </c>
      <c r="Q11" s="130"/>
      <c r="R11" s="120"/>
      <c r="S11" s="120"/>
      <c r="T11" s="120"/>
    </row>
    <row r="12" spans="1:20" s="75" customFormat="1">
      <c r="A12" s="120"/>
      <c r="B12" s="131"/>
      <c r="C12" s="120"/>
      <c r="D12" s="120"/>
      <c r="E12" s="120" t="s">
        <v>305</v>
      </c>
      <c r="F12" s="132"/>
      <c r="G12" s="133"/>
      <c r="H12" s="120"/>
      <c r="I12" s="120"/>
      <c r="J12" s="134">
        <f>IFERROR(NETWORKDAYS(J11,EOMONTH(J11,0)),"")</f>
        <v>22</v>
      </c>
      <c r="K12" s="120"/>
      <c r="L12" s="134">
        <f>IFERROR(NETWORKDAYS(L11,EOMONTH(L11,0)),"")</f>
        <v>21</v>
      </c>
      <c r="M12" s="120"/>
      <c r="N12" s="134">
        <f>IFERROR(NETWORKDAYS(N11,EOMONTH(N11,0)),"")</f>
        <v>23</v>
      </c>
      <c r="O12" s="120"/>
      <c r="P12" s="134">
        <f>IFERROR(NETWORKDAYS($B$8,EOMONTH($B$7,0)),"")</f>
        <v>261</v>
      </c>
      <c r="Q12" s="76"/>
      <c r="R12" s="120"/>
      <c r="S12" s="120"/>
      <c r="T12" s="120"/>
    </row>
    <row r="13" spans="1:20" s="75" customFormat="1" hidden="1">
      <c r="A13" s="120"/>
      <c r="B13" s="131" t="s">
        <v>304</v>
      </c>
      <c r="C13" s="120"/>
      <c r="D13" s="120"/>
      <c r="E13" s="133"/>
      <c r="F13" s="132"/>
      <c r="G13" s="133"/>
      <c r="H13" s="120"/>
      <c r="I13" s="120"/>
      <c r="J13" s="134"/>
      <c r="K13" s="120"/>
      <c r="L13" s="134"/>
      <c r="M13" s="120"/>
      <c r="N13" s="134"/>
      <c r="O13" s="120"/>
      <c r="P13" s="134"/>
      <c r="Q13" s="135"/>
      <c r="R13" s="120"/>
      <c r="S13" s="120"/>
      <c r="T13" s="120"/>
    </row>
    <row r="14" spans="1:20" s="65" customFormat="1" ht="4.5" customHeight="1">
      <c r="A14" s="110"/>
      <c r="B14" s="110"/>
      <c r="C14" s="110"/>
      <c r="D14" s="110"/>
      <c r="E14" s="110"/>
      <c r="F14" s="110"/>
      <c r="G14" s="110"/>
      <c r="H14" s="110"/>
      <c r="I14" s="110"/>
      <c r="J14" s="111"/>
      <c r="K14" s="120"/>
      <c r="L14" s="111"/>
      <c r="M14" s="120"/>
      <c r="N14" s="111"/>
      <c r="O14" s="120"/>
      <c r="P14" s="111"/>
      <c r="Q14" s="136"/>
      <c r="R14" s="120"/>
      <c r="S14" s="120"/>
      <c r="T14" s="110"/>
    </row>
    <row r="15" spans="1:20" s="65" customFormat="1" outlineLevel="1">
      <c r="A15" s="110"/>
      <c r="B15" s="110"/>
      <c r="C15" s="110"/>
      <c r="D15" s="110"/>
      <c r="E15" s="110"/>
      <c r="F15" s="110"/>
      <c r="G15" s="110"/>
      <c r="H15" s="110"/>
      <c r="I15" s="110"/>
      <c r="J15" s="111"/>
      <c r="K15" s="120"/>
      <c r="L15" s="111"/>
      <c r="M15" s="120"/>
      <c r="N15" s="111"/>
      <c r="O15" s="120"/>
      <c r="P15" s="111"/>
      <c r="Q15" s="137"/>
      <c r="R15" s="120"/>
      <c r="S15" s="120"/>
      <c r="T15" s="110"/>
    </row>
    <row r="16" spans="1:20" outlineLevel="1">
      <c r="A16" s="105"/>
      <c r="B16" s="106" t="s">
        <v>306</v>
      </c>
      <c r="C16" s="105"/>
      <c r="D16" s="107">
        <v>31000</v>
      </c>
      <c r="E16" s="107" t="s">
        <v>307</v>
      </c>
      <c r="F16" s="108"/>
      <c r="G16" s="109"/>
      <c r="H16" s="110"/>
      <c r="I16" s="111"/>
      <c r="J16" s="112">
        <v>5189.78</v>
      </c>
      <c r="K16" s="111"/>
      <c r="L16" s="112">
        <v>4991.1899999999996</v>
      </c>
      <c r="M16" s="111"/>
      <c r="N16" s="112">
        <v>3291.57</v>
      </c>
      <c r="O16" s="111"/>
      <c r="P16" s="112">
        <v>66846.990000000005</v>
      </c>
      <c r="Q16" s="113">
        <f t="shared" ref="Q16:Q23" si="0">IF(P$57=0,0,P16/P$57)</f>
        <v>2.2672970621962073E-2</v>
      </c>
      <c r="R16" s="114"/>
      <c r="S16" s="115"/>
      <c r="T16" s="105"/>
    </row>
    <row r="17" spans="1:20" outlineLevel="1">
      <c r="A17" s="105"/>
      <c r="B17" s="106" t="s">
        <v>308</v>
      </c>
      <c r="C17" s="105"/>
      <c r="D17" s="107">
        <v>31005</v>
      </c>
      <c r="E17" s="107" t="s">
        <v>309</v>
      </c>
      <c r="F17" s="108"/>
      <c r="G17" s="109"/>
      <c r="H17" s="110"/>
      <c r="I17" s="111"/>
      <c r="J17" s="112">
        <v>4415.62</v>
      </c>
      <c r="K17" s="111"/>
      <c r="L17" s="112">
        <v>7137.38</v>
      </c>
      <c r="M17" s="111"/>
      <c r="N17" s="112">
        <v>3680.16</v>
      </c>
      <c r="O17" s="111"/>
      <c r="P17" s="112">
        <v>66004.05</v>
      </c>
      <c r="Q17" s="113">
        <f t="shared" si="0"/>
        <v>2.2387064646897575E-2</v>
      </c>
      <c r="R17" s="114"/>
      <c r="S17" s="115"/>
      <c r="T17" s="105"/>
    </row>
    <row r="18" spans="1:20" outlineLevel="1">
      <c r="A18" s="105"/>
      <c r="B18" s="106" t="s">
        <v>308</v>
      </c>
      <c r="C18" s="105"/>
      <c r="D18" s="107">
        <v>31010</v>
      </c>
      <c r="E18" s="107" t="s">
        <v>310</v>
      </c>
      <c r="F18" s="108"/>
      <c r="G18" s="109"/>
      <c r="H18" s="110"/>
      <c r="I18" s="111"/>
      <c r="J18" s="112">
        <v>2938.32</v>
      </c>
      <c r="K18" s="111"/>
      <c r="L18" s="112">
        <v>1873.64</v>
      </c>
      <c r="M18" s="111"/>
      <c r="N18" s="112">
        <v>704.84</v>
      </c>
      <c r="O18" s="111"/>
      <c r="P18" s="112">
        <v>29836.35</v>
      </c>
      <c r="Q18" s="113">
        <f t="shared" si="0"/>
        <v>1.0119807743274275E-2</v>
      </c>
      <c r="R18" s="114"/>
      <c r="S18" s="115"/>
      <c r="T18" s="105"/>
    </row>
    <row r="19" spans="1:20" outlineLevel="1">
      <c r="A19" s="105"/>
      <c r="B19" s="106" t="s">
        <v>308</v>
      </c>
      <c r="C19" s="105"/>
      <c r="D19" s="107">
        <v>32000</v>
      </c>
      <c r="E19" s="107" t="s">
        <v>311</v>
      </c>
      <c r="F19" s="108"/>
      <c r="G19" s="109"/>
      <c r="H19" s="110"/>
      <c r="I19" s="111"/>
      <c r="J19" s="112">
        <v>124888.48</v>
      </c>
      <c r="K19" s="111"/>
      <c r="L19" s="112">
        <v>124754.55</v>
      </c>
      <c r="M19" s="111"/>
      <c r="N19" s="112">
        <v>124485.21</v>
      </c>
      <c r="O19" s="111"/>
      <c r="P19" s="112">
        <v>1483342.34</v>
      </c>
      <c r="Q19" s="113">
        <f t="shared" si="0"/>
        <v>0.50311580666732303</v>
      </c>
      <c r="R19" s="114"/>
      <c r="S19" s="115"/>
      <c r="T19" s="105"/>
    </row>
    <row r="20" spans="1:20" outlineLevel="1">
      <c r="A20" s="105"/>
      <c r="B20" s="106" t="s">
        <v>308</v>
      </c>
      <c r="C20" s="105"/>
      <c r="D20" s="107">
        <v>32001</v>
      </c>
      <c r="E20" s="107" t="s">
        <v>312</v>
      </c>
      <c r="F20" s="108"/>
      <c r="G20" s="109"/>
      <c r="H20" s="110"/>
      <c r="I20" s="111"/>
      <c r="J20" s="112">
        <v>2525.15</v>
      </c>
      <c r="K20" s="111"/>
      <c r="L20" s="112">
        <v>3723.25</v>
      </c>
      <c r="M20" s="111"/>
      <c r="N20" s="112">
        <v>2638.95</v>
      </c>
      <c r="O20" s="111"/>
      <c r="P20" s="112">
        <v>40302.14</v>
      </c>
      <c r="Q20" s="113">
        <f t="shared" si="0"/>
        <v>1.3669564422006173E-2</v>
      </c>
      <c r="R20" s="114"/>
      <c r="S20" s="115"/>
      <c r="T20" s="105"/>
    </row>
    <row r="21" spans="1:20" outlineLevel="1">
      <c r="A21" s="105"/>
      <c r="B21" s="106" t="s">
        <v>308</v>
      </c>
      <c r="C21" s="105"/>
      <c r="D21" s="107">
        <v>33000</v>
      </c>
      <c r="E21" s="107" t="s">
        <v>313</v>
      </c>
      <c r="F21" s="108"/>
      <c r="G21" s="109"/>
      <c r="H21" s="110"/>
      <c r="I21" s="111"/>
      <c r="J21" s="112">
        <v>104107.97</v>
      </c>
      <c r="K21" s="111"/>
      <c r="L21" s="112">
        <v>101746.8</v>
      </c>
      <c r="M21" s="111"/>
      <c r="N21" s="112">
        <v>98849.01</v>
      </c>
      <c r="O21" s="111"/>
      <c r="P21" s="112">
        <v>1222724.6100000001</v>
      </c>
      <c r="Q21" s="113">
        <f t="shared" si="0"/>
        <v>0.41472023140129471</v>
      </c>
      <c r="R21" s="114"/>
      <c r="S21" s="115"/>
      <c r="T21" s="105"/>
    </row>
    <row r="22" spans="1:20" outlineLevel="1">
      <c r="A22" s="105"/>
      <c r="B22" s="106" t="s">
        <v>308</v>
      </c>
      <c r="C22" s="105"/>
      <c r="D22" s="107">
        <v>33001</v>
      </c>
      <c r="E22" s="107" t="s">
        <v>529</v>
      </c>
      <c r="F22" s="108"/>
      <c r="G22" s="109"/>
      <c r="H22" s="110"/>
      <c r="I22" s="111"/>
      <c r="J22" s="112">
        <v>56.27</v>
      </c>
      <c r="K22" s="111"/>
      <c r="L22" s="112">
        <v>52.96</v>
      </c>
      <c r="M22" s="111"/>
      <c r="N22" s="112">
        <v>52.96</v>
      </c>
      <c r="O22" s="111"/>
      <c r="P22" s="112">
        <v>933.82</v>
      </c>
      <c r="Q22" s="113">
        <f t="shared" si="0"/>
        <v>3.1673039318899209E-4</v>
      </c>
      <c r="R22" s="114"/>
      <c r="S22" s="115"/>
      <c r="T22" s="105"/>
    </row>
    <row r="23" spans="1:20" outlineLevel="1">
      <c r="A23" s="105"/>
      <c r="B23" s="106" t="s">
        <v>308</v>
      </c>
      <c r="C23" s="105"/>
      <c r="D23" s="107">
        <v>33011</v>
      </c>
      <c r="E23" s="107" t="s">
        <v>314</v>
      </c>
      <c r="F23" s="108"/>
      <c r="G23" s="109"/>
      <c r="H23" s="110"/>
      <c r="I23" s="111"/>
      <c r="J23" s="112">
        <v>1885.13</v>
      </c>
      <c r="K23" s="111"/>
      <c r="L23" s="112">
        <v>1753.12</v>
      </c>
      <c r="M23" s="111"/>
      <c r="N23" s="112">
        <v>1601.76</v>
      </c>
      <c r="O23" s="111"/>
      <c r="P23" s="112">
        <v>23319.74</v>
      </c>
      <c r="Q23" s="113">
        <f t="shared" si="0"/>
        <v>7.9095226267000777E-3</v>
      </c>
      <c r="R23" s="114"/>
      <c r="S23" s="115"/>
      <c r="T23" s="105"/>
    </row>
    <row r="24" spans="1:20" s="65" customFormat="1" ht="4.5" customHeight="1" outlineLevel="1">
      <c r="A24" s="110"/>
      <c r="B24" s="138" t="s">
        <v>301</v>
      </c>
      <c r="C24" s="110"/>
      <c r="D24" s="110"/>
      <c r="E24" s="110"/>
      <c r="F24" s="110"/>
      <c r="G24" s="110"/>
      <c r="H24" s="110"/>
      <c r="I24" s="110"/>
      <c r="J24" s="139"/>
      <c r="K24" s="120"/>
      <c r="L24" s="139"/>
      <c r="M24" s="120"/>
      <c r="N24" s="139"/>
      <c r="O24" s="120"/>
      <c r="P24" s="139"/>
      <c r="Q24" s="137"/>
      <c r="R24" s="120"/>
      <c r="S24" s="120"/>
      <c r="T24" s="110"/>
    </row>
    <row r="25" spans="1:20" s="65" customFormat="1">
      <c r="A25" s="140" t="s">
        <v>306</v>
      </c>
      <c r="B25" s="140" t="s">
        <v>301</v>
      </c>
      <c r="C25" s="110"/>
      <c r="D25" s="110"/>
      <c r="E25" s="110"/>
      <c r="F25" s="110" t="s">
        <v>315</v>
      </c>
      <c r="G25" s="110"/>
      <c r="H25" s="110"/>
      <c r="I25" s="110"/>
      <c r="J25" s="141">
        <f>SUM(J15:J24)</f>
        <v>246006.71999999997</v>
      </c>
      <c r="K25" s="142"/>
      <c r="L25" s="141">
        <f>SUM(L15:L24)</f>
        <v>246032.88999999998</v>
      </c>
      <c r="M25" s="142"/>
      <c r="N25" s="141">
        <f>SUM(N15:N24)</f>
        <v>235304.46</v>
      </c>
      <c r="O25" s="142"/>
      <c r="P25" s="141">
        <f>SUM(P15:P24)</f>
        <v>2933310.04</v>
      </c>
      <c r="Q25" s="113">
        <f>IF(P$57=0,0,P25/P$57)</f>
        <v>0.99491169852264683</v>
      </c>
      <c r="R25" s="120"/>
      <c r="S25" s="120"/>
      <c r="T25" s="110"/>
    </row>
    <row r="26" spans="1:20" s="65" customFormat="1" outlineLevel="1">
      <c r="A26" s="138" t="s">
        <v>301</v>
      </c>
      <c r="B26" s="138" t="s">
        <v>301</v>
      </c>
      <c r="C26" s="110"/>
      <c r="D26" s="110"/>
      <c r="E26" s="110"/>
      <c r="F26" s="110"/>
      <c r="G26" s="110"/>
      <c r="H26" s="110"/>
      <c r="I26" s="110"/>
      <c r="J26" s="142"/>
      <c r="K26" s="142"/>
      <c r="L26" s="142"/>
      <c r="M26" s="142"/>
      <c r="N26" s="142"/>
      <c r="O26" s="142"/>
      <c r="P26" s="142"/>
      <c r="Q26" s="137"/>
      <c r="R26" s="120"/>
      <c r="S26" s="120"/>
      <c r="T26" s="110"/>
    </row>
    <row r="27" spans="1:20" outlineLevel="1">
      <c r="A27" s="105"/>
      <c r="B27" s="106" t="s">
        <v>316</v>
      </c>
      <c r="C27" s="105"/>
      <c r="D27" s="107"/>
      <c r="E27" s="107"/>
      <c r="F27" s="108"/>
      <c r="G27" s="109"/>
      <c r="H27" s="110"/>
      <c r="I27" s="111"/>
      <c r="J27" s="112"/>
      <c r="K27" s="111"/>
      <c r="L27" s="112"/>
      <c r="M27" s="111"/>
      <c r="N27" s="112"/>
      <c r="O27" s="111"/>
      <c r="P27" s="112"/>
      <c r="Q27" s="113"/>
      <c r="R27" s="114"/>
      <c r="S27" s="115"/>
      <c r="T27" s="105"/>
    </row>
    <row r="28" spans="1:20" s="65" customFormat="1" ht="5.0999999999999996" customHeight="1" outlineLevel="1">
      <c r="A28" s="138" t="s">
        <v>301</v>
      </c>
      <c r="B28" s="138" t="s">
        <v>301</v>
      </c>
      <c r="C28" s="110"/>
      <c r="D28" s="108"/>
      <c r="E28" s="108"/>
      <c r="F28" s="108"/>
      <c r="G28" s="108"/>
      <c r="H28" s="110"/>
      <c r="I28" s="110"/>
      <c r="J28" s="143"/>
      <c r="K28" s="142"/>
      <c r="L28" s="143"/>
      <c r="M28" s="142"/>
      <c r="N28" s="143"/>
      <c r="O28" s="142"/>
      <c r="P28" s="143"/>
      <c r="Q28" s="137"/>
      <c r="R28" s="120"/>
      <c r="S28" s="120"/>
      <c r="T28" s="110"/>
    </row>
    <row r="29" spans="1:20" s="65" customFormat="1">
      <c r="A29" s="140" t="s">
        <v>316</v>
      </c>
      <c r="B29" s="140" t="s">
        <v>301</v>
      </c>
      <c r="C29" s="110"/>
      <c r="D29" s="110"/>
      <c r="E29" s="110"/>
      <c r="F29" s="108" t="s">
        <v>317</v>
      </c>
      <c r="G29" s="110"/>
      <c r="H29" s="110"/>
      <c r="I29" s="110"/>
      <c r="J29" s="141">
        <f>SUM(J27:J28)</f>
        <v>0</v>
      </c>
      <c r="K29" s="142"/>
      <c r="L29" s="141">
        <f>SUM(L27:L28)</f>
        <v>0</v>
      </c>
      <c r="M29" s="142"/>
      <c r="N29" s="141">
        <f>SUM(N27:N28)</f>
        <v>0</v>
      </c>
      <c r="O29" s="142"/>
      <c r="P29" s="141">
        <f>SUM(P27:P28)</f>
        <v>0</v>
      </c>
      <c r="Q29" s="113">
        <f>IF(P$57=0,0,P29/P$57)</f>
        <v>0</v>
      </c>
      <c r="R29" s="120"/>
      <c r="S29" s="120"/>
      <c r="T29" s="110"/>
    </row>
    <row r="30" spans="1:20" s="65" customFormat="1" outlineLevel="1">
      <c r="A30" s="138" t="s">
        <v>301</v>
      </c>
      <c r="B30" s="140"/>
      <c r="C30" s="110"/>
      <c r="D30" s="110"/>
      <c r="E30" s="110"/>
      <c r="F30" s="110"/>
      <c r="G30" s="110"/>
      <c r="H30" s="110"/>
      <c r="I30" s="110"/>
      <c r="J30" s="142"/>
      <c r="K30" s="142"/>
      <c r="L30" s="142"/>
      <c r="M30" s="142"/>
      <c r="N30" s="142"/>
      <c r="O30" s="142"/>
      <c r="P30" s="142"/>
      <c r="Q30" s="137"/>
      <c r="R30" s="120"/>
      <c r="S30" s="120"/>
      <c r="T30" s="110"/>
    </row>
    <row r="31" spans="1:20" s="65" customFormat="1" outlineLevel="1">
      <c r="A31" s="140" t="s">
        <v>301</v>
      </c>
      <c r="B31" s="140" t="s">
        <v>301</v>
      </c>
      <c r="C31" s="110"/>
      <c r="D31" s="110"/>
      <c r="E31" s="110"/>
      <c r="F31" s="110"/>
      <c r="G31" s="110"/>
      <c r="H31" s="110"/>
      <c r="I31" s="110"/>
      <c r="J31" s="142"/>
      <c r="K31" s="142"/>
      <c r="L31" s="142"/>
      <c r="M31" s="142"/>
      <c r="N31" s="142"/>
      <c r="O31" s="142"/>
      <c r="P31" s="142"/>
      <c r="Q31" s="137"/>
      <c r="R31" s="120"/>
      <c r="S31" s="120"/>
      <c r="T31" s="110"/>
    </row>
    <row r="32" spans="1:20" outlineLevel="1">
      <c r="A32" s="105"/>
      <c r="B32" s="106" t="s">
        <v>318</v>
      </c>
      <c r="C32" s="105"/>
      <c r="D32" s="107">
        <v>35510</v>
      </c>
      <c r="E32" s="107" t="s">
        <v>319</v>
      </c>
      <c r="F32" s="108"/>
      <c r="G32" s="109"/>
      <c r="H32" s="110"/>
      <c r="I32" s="111"/>
      <c r="J32" s="112">
        <v>0</v>
      </c>
      <c r="K32" s="111"/>
      <c r="L32" s="112">
        <v>0</v>
      </c>
      <c r="M32" s="111"/>
      <c r="N32" s="112">
        <v>0</v>
      </c>
      <c r="O32" s="111"/>
      <c r="P32" s="112">
        <v>0</v>
      </c>
      <c r="Q32" s="113">
        <f t="shared" ref="Q32:Q34" si="1">IF(P$57=0,0,P32/P$57)</f>
        <v>0</v>
      </c>
      <c r="R32" s="114"/>
      <c r="S32" s="115"/>
      <c r="T32" s="105"/>
    </row>
    <row r="33" spans="1:20" outlineLevel="1">
      <c r="A33" s="105"/>
      <c r="B33" s="106" t="s">
        <v>308</v>
      </c>
      <c r="C33" s="105"/>
      <c r="D33" s="107">
        <v>35514</v>
      </c>
      <c r="E33" s="107" t="s">
        <v>530</v>
      </c>
      <c r="F33" s="108"/>
      <c r="G33" s="109"/>
      <c r="H33" s="110"/>
      <c r="I33" s="111"/>
      <c r="J33" s="112">
        <v>0</v>
      </c>
      <c r="K33" s="111"/>
      <c r="L33" s="112">
        <v>0</v>
      </c>
      <c r="M33" s="111"/>
      <c r="N33" s="112">
        <v>0</v>
      </c>
      <c r="O33" s="111"/>
      <c r="P33" s="112">
        <v>200</v>
      </c>
      <c r="Q33" s="113">
        <f t="shared" si="1"/>
        <v>6.7835427210595638E-5</v>
      </c>
      <c r="R33" s="114"/>
      <c r="S33" s="115"/>
      <c r="T33" s="105"/>
    </row>
    <row r="34" spans="1:20" outlineLevel="1">
      <c r="A34" s="105"/>
      <c r="B34" s="106" t="s">
        <v>308</v>
      </c>
      <c r="C34" s="105"/>
      <c r="D34" s="107">
        <v>35518</v>
      </c>
      <c r="E34" s="107" t="s">
        <v>531</v>
      </c>
      <c r="F34" s="108"/>
      <c r="G34" s="109"/>
      <c r="H34" s="110"/>
      <c r="I34" s="111"/>
      <c r="J34" s="112">
        <v>575.63</v>
      </c>
      <c r="K34" s="111"/>
      <c r="L34" s="112">
        <v>1114.6199999999999</v>
      </c>
      <c r="M34" s="111"/>
      <c r="N34" s="112">
        <v>557.03</v>
      </c>
      <c r="O34" s="111"/>
      <c r="P34" s="112">
        <v>7636.7</v>
      </c>
      <c r="Q34" s="113">
        <f t="shared" si="1"/>
        <v>2.5901940348957782E-3</v>
      </c>
      <c r="R34" s="114"/>
      <c r="S34" s="115"/>
      <c r="T34" s="105"/>
    </row>
    <row r="35" spans="1:20" s="65" customFormat="1" ht="5.0999999999999996" customHeight="1" outlineLevel="1">
      <c r="A35" s="140" t="s">
        <v>301</v>
      </c>
      <c r="B35" s="138" t="s">
        <v>301</v>
      </c>
      <c r="C35" s="110"/>
      <c r="D35" s="108"/>
      <c r="E35" s="108"/>
      <c r="F35" s="108"/>
      <c r="G35" s="108"/>
      <c r="H35" s="110"/>
      <c r="I35" s="110"/>
      <c r="J35" s="143"/>
      <c r="K35" s="142"/>
      <c r="L35" s="143"/>
      <c r="M35" s="142"/>
      <c r="N35" s="143"/>
      <c r="O35" s="142"/>
      <c r="P35" s="143"/>
      <c r="Q35" s="137"/>
      <c r="R35" s="120"/>
      <c r="S35" s="120"/>
      <c r="T35" s="110"/>
    </row>
    <row r="36" spans="1:20" s="65" customFormat="1">
      <c r="A36" s="140" t="s">
        <v>318</v>
      </c>
      <c r="B36" s="140" t="s">
        <v>301</v>
      </c>
      <c r="C36" s="110"/>
      <c r="D36" s="110"/>
      <c r="E36" s="110"/>
      <c r="F36" s="108" t="s">
        <v>320</v>
      </c>
      <c r="G36" s="110"/>
      <c r="H36" s="110"/>
      <c r="I36" s="110"/>
      <c r="J36" s="141">
        <f>SUM(J31:J35)</f>
        <v>575.63</v>
      </c>
      <c r="K36" s="142"/>
      <c r="L36" s="141">
        <f>SUM(L31:L35)</f>
        <v>1114.6199999999999</v>
      </c>
      <c r="M36" s="142"/>
      <c r="N36" s="141">
        <f>SUM(N31:N35)</f>
        <v>557.03</v>
      </c>
      <c r="O36" s="142"/>
      <c r="P36" s="141">
        <f>SUM(P31:P35)</f>
        <v>7836.7</v>
      </c>
      <c r="Q36" s="113">
        <f>IF(P$57=0,0,P36/P$57)</f>
        <v>2.6580294621063741E-3</v>
      </c>
      <c r="R36" s="120"/>
      <c r="S36" s="120"/>
      <c r="T36" s="110"/>
    </row>
    <row r="37" spans="1:20" s="65" customFormat="1" outlineLevel="1">
      <c r="A37" s="138" t="s">
        <v>301</v>
      </c>
      <c r="B37" s="140"/>
      <c r="C37" s="110"/>
      <c r="D37" s="108"/>
      <c r="E37" s="108"/>
      <c r="F37" s="108"/>
      <c r="G37" s="108"/>
      <c r="H37" s="110"/>
      <c r="I37" s="110"/>
      <c r="J37" s="142"/>
      <c r="K37" s="142"/>
      <c r="L37" s="142"/>
      <c r="M37" s="142"/>
      <c r="N37" s="142"/>
      <c r="O37" s="142"/>
      <c r="P37" s="142"/>
      <c r="Q37" s="137"/>
      <c r="R37" s="120"/>
      <c r="S37" s="120"/>
      <c r="T37" s="110"/>
    </row>
    <row r="38" spans="1:20" s="65" customFormat="1" outlineLevel="1">
      <c r="A38" s="140" t="s">
        <v>301</v>
      </c>
      <c r="B38" s="140" t="s">
        <v>301</v>
      </c>
      <c r="C38" s="110"/>
      <c r="D38" s="110"/>
      <c r="E38" s="110"/>
      <c r="F38" s="110"/>
      <c r="G38" s="110"/>
      <c r="H38" s="110"/>
      <c r="I38" s="110"/>
      <c r="J38" s="142"/>
      <c r="K38" s="142"/>
      <c r="L38" s="142"/>
      <c r="M38" s="142"/>
      <c r="N38" s="142"/>
      <c r="O38" s="142"/>
      <c r="P38" s="142"/>
      <c r="Q38" s="137"/>
      <c r="R38" s="120"/>
      <c r="S38" s="120"/>
      <c r="T38" s="110"/>
    </row>
    <row r="39" spans="1:20" outlineLevel="1">
      <c r="A39" s="105"/>
      <c r="B39" s="106" t="s">
        <v>321</v>
      </c>
      <c r="C39" s="105"/>
      <c r="D39" s="107"/>
      <c r="E39" s="107"/>
      <c r="F39" s="108"/>
      <c r="G39" s="109"/>
      <c r="H39" s="110"/>
      <c r="I39" s="111"/>
      <c r="J39" s="112"/>
      <c r="K39" s="111"/>
      <c r="L39" s="112"/>
      <c r="M39" s="111"/>
      <c r="N39" s="112"/>
      <c r="O39" s="111"/>
      <c r="P39" s="112"/>
      <c r="Q39" s="113"/>
      <c r="R39" s="114"/>
      <c r="S39" s="115"/>
      <c r="T39" s="105"/>
    </row>
    <row r="40" spans="1:20" s="65" customFormat="1" ht="3.75" customHeight="1" outlineLevel="1">
      <c r="A40" s="140" t="s">
        <v>301</v>
      </c>
      <c r="B40" s="138" t="s">
        <v>301</v>
      </c>
      <c r="C40" s="110"/>
      <c r="D40" s="108"/>
      <c r="E40" s="108"/>
      <c r="F40" s="108"/>
      <c r="G40" s="108"/>
      <c r="H40" s="110"/>
      <c r="I40" s="110"/>
      <c r="J40" s="143"/>
      <c r="K40" s="142"/>
      <c r="L40" s="143"/>
      <c r="M40" s="142"/>
      <c r="N40" s="143"/>
      <c r="O40" s="142"/>
      <c r="P40" s="143"/>
      <c r="Q40" s="137"/>
      <c r="R40" s="120"/>
      <c r="S40" s="120"/>
      <c r="T40" s="110"/>
    </row>
    <row r="41" spans="1:20" s="65" customFormat="1">
      <c r="A41" s="140" t="s">
        <v>321</v>
      </c>
      <c r="B41" s="140" t="s">
        <v>301</v>
      </c>
      <c r="C41" s="110"/>
      <c r="D41" s="110"/>
      <c r="E41" s="110"/>
      <c r="F41" s="108" t="s">
        <v>322</v>
      </c>
      <c r="G41" s="110"/>
      <c r="H41" s="110"/>
      <c r="I41" s="110"/>
      <c r="J41" s="141">
        <f>SUM(J38:J40)</f>
        <v>0</v>
      </c>
      <c r="K41" s="142"/>
      <c r="L41" s="141">
        <f>SUM(L38:L40)</f>
        <v>0</v>
      </c>
      <c r="M41" s="142"/>
      <c r="N41" s="141">
        <f>SUM(N38:N40)</f>
        <v>0</v>
      </c>
      <c r="O41" s="142"/>
      <c r="P41" s="141">
        <f>SUM(P38:P40)</f>
        <v>0</v>
      </c>
      <c r="Q41" s="113">
        <f>IF(P$57=0,0,P41/P$57)</f>
        <v>0</v>
      </c>
      <c r="R41" s="120"/>
      <c r="S41" s="120"/>
      <c r="T41" s="110"/>
    </row>
    <row r="42" spans="1:20" s="65" customFormat="1" outlineLevel="1">
      <c r="A42" s="138" t="s">
        <v>301</v>
      </c>
      <c r="B42" s="138" t="s">
        <v>301</v>
      </c>
      <c r="C42" s="110"/>
      <c r="D42" s="110"/>
      <c r="E42" s="110"/>
      <c r="F42" s="110"/>
      <c r="G42" s="110"/>
      <c r="H42" s="110"/>
      <c r="I42" s="110"/>
      <c r="J42" s="142"/>
      <c r="K42" s="142"/>
      <c r="L42" s="142"/>
      <c r="M42" s="142"/>
      <c r="N42" s="142"/>
      <c r="O42" s="142"/>
      <c r="P42" s="142"/>
      <c r="Q42" s="137"/>
      <c r="R42" s="120"/>
      <c r="S42" s="120"/>
      <c r="T42" s="110"/>
    </row>
    <row r="43" spans="1:20" outlineLevel="1">
      <c r="A43" s="105"/>
      <c r="B43" s="106" t="s">
        <v>323</v>
      </c>
      <c r="C43" s="105"/>
      <c r="D43" s="107"/>
      <c r="E43" s="107"/>
      <c r="F43" s="108"/>
      <c r="G43" s="109"/>
      <c r="H43" s="110"/>
      <c r="I43" s="111"/>
      <c r="J43" s="112"/>
      <c r="K43" s="111"/>
      <c r="L43" s="112"/>
      <c r="M43" s="111"/>
      <c r="N43" s="112"/>
      <c r="O43" s="111"/>
      <c r="P43" s="112"/>
      <c r="Q43" s="113"/>
      <c r="R43" s="114"/>
      <c r="S43" s="115"/>
      <c r="T43" s="105"/>
    </row>
    <row r="44" spans="1:20" s="65" customFormat="1" ht="3.75" customHeight="1" outlineLevel="1">
      <c r="A44" s="138" t="s">
        <v>301</v>
      </c>
      <c r="B44" s="138" t="s">
        <v>301</v>
      </c>
      <c r="C44" s="110"/>
      <c r="D44" s="108"/>
      <c r="E44" s="108"/>
      <c r="F44" s="108"/>
      <c r="G44" s="108"/>
      <c r="H44" s="110"/>
      <c r="I44" s="110"/>
      <c r="J44" s="143"/>
      <c r="K44" s="142"/>
      <c r="L44" s="143"/>
      <c r="M44" s="142"/>
      <c r="N44" s="143"/>
      <c r="O44" s="142"/>
      <c r="P44" s="143"/>
      <c r="Q44" s="137"/>
      <c r="R44" s="120"/>
      <c r="S44" s="120"/>
      <c r="T44" s="110"/>
    </row>
    <row r="45" spans="1:20" s="65" customFormat="1">
      <c r="A45" s="140" t="s">
        <v>323</v>
      </c>
      <c r="B45" s="138"/>
      <c r="C45" s="110"/>
      <c r="D45" s="110"/>
      <c r="E45" s="110"/>
      <c r="F45" s="108" t="s">
        <v>324</v>
      </c>
      <c r="G45" s="110"/>
      <c r="H45" s="110"/>
      <c r="I45" s="110"/>
      <c r="J45" s="141">
        <f>SUM(J43:J44)</f>
        <v>0</v>
      </c>
      <c r="K45" s="142"/>
      <c r="L45" s="141">
        <f>SUM(L43:L44)</f>
        <v>0</v>
      </c>
      <c r="M45" s="142"/>
      <c r="N45" s="141">
        <f>SUM(N43:N44)</f>
        <v>0</v>
      </c>
      <c r="O45" s="142"/>
      <c r="P45" s="141">
        <f>SUM(P43:P44)</f>
        <v>0</v>
      </c>
      <c r="Q45" s="113">
        <f>IF(P$57=0,0,P45/P$57)</f>
        <v>0</v>
      </c>
      <c r="R45" s="120"/>
      <c r="S45" s="120"/>
      <c r="T45" s="110"/>
    </row>
    <row r="46" spans="1:20" s="65" customFormat="1" outlineLevel="1">
      <c r="A46" s="138" t="s">
        <v>301</v>
      </c>
      <c r="B46" s="138" t="s">
        <v>301</v>
      </c>
      <c r="C46" s="110"/>
      <c r="D46" s="110"/>
      <c r="E46" s="110"/>
      <c r="F46" s="110"/>
      <c r="G46" s="110"/>
      <c r="H46" s="110"/>
      <c r="I46" s="110"/>
      <c r="J46" s="142"/>
      <c r="K46" s="142"/>
      <c r="L46" s="142"/>
      <c r="M46" s="142"/>
      <c r="N46" s="142"/>
      <c r="O46" s="142"/>
      <c r="P46" s="142"/>
      <c r="Q46" s="137"/>
      <c r="R46" s="120"/>
      <c r="S46" s="120"/>
      <c r="T46" s="110"/>
    </row>
    <row r="47" spans="1:20" outlineLevel="1">
      <c r="A47" s="105"/>
      <c r="B47" s="106" t="s">
        <v>532</v>
      </c>
      <c r="C47" s="105"/>
      <c r="D47" s="107"/>
      <c r="E47" s="107"/>
      <c r="F47" s="108"/>
      <c r="G47" s="109"/>
      <c r="H47" s="110"/>
      <c r="I47" s="111"/>
      <c r="J47" s="112"/>
      <c r="K47" s="111"/>
      <c r="L47" s="112"/>
      <c r="M47" s="111"/>
      <c r="N47" s="112"/>
      <c r="O47" s="111"/>
      <c r="P47" s="112"/>
      <c r="Q47" s="113"/>
      <c r="R47" s="114"/>
      <c r="S47" s="115"/>
      <c r="T47" s="105"/>
    </row>
    <row r="48" spans="1:20" s="65" customFormat="1" ht="3.75" customHeight="1" outlineLevel="1">
      <c r="A48" s="138" t="s">
        <v>301</v>
      </c>
      <c r="B48" s="138" t="s">
        <v>301</v>
      </c>
      <c r="C48" s="110"/>
      <c r="D48" s="108"/>
      <c r="E48" s="108"/>
      <c r="F48" s="108"/>
      <c r="G48" s="108"/>
      <c r="H48" s="110"/>
      <c r="I48" s="110"/>
      <c r="J48" s="143"/>
      <c r="K48" s="142"/>
      <c r="L48" s="143"/>
      <c r="M48" s="142"/>
      <c r="N48" s="143"/>
      <c r="O48" s="142"/>
      <c r="P48" s="143"/>
      <c r="Q48" s="137"/>
      <c r="R48" s="120"/>
      <c r="S48" s="120"/>
      <c r="T48" s="110"/>
    </row>
    <row r="49" spans="1:20" s="65" customFormat="1">
      <c r="A49" s="140" t="s">
        <v>532</v>
      </c>
      <c r="B49" s="138"/>
      <c r="C49" s="110"/>
      <c r="D49" s="110"/>
      <c r="E49" s="110"/>
      <c r="F49" s="108" t="s">
        <v>533</v>
      </c>
      <c r="G49" s="110"/>
      <c r="H49" s="110"/>
      <c r="I49" s="110"/>
      <c r="J49" s="141">
        <f>SUM(J47:J48)</f>
        <v>0</v>
      </c>
      <c r="K49" s="142"/>
      <c r="L49" s="141">
        <f>SUM(L47:L48)</f>
        <v>0</v>
      </c>
      <c r="M49" s="142"/>
      <c r="N49" s="141">
        <f>SUM(N47:N48)</f>
        <v>0</v>
      </c>
      <c r="O49" s="142"/>
      <c r="P49" s="141">
        <f>SUM(P47:P48)</f>
        <v>0</v>
      </c>
      <c r="Q49" s="113">
        <f>IF(P$57=0,0,P49/P$57)</f>
        <v>0</v>
      </c>
      <c r="R49" s="120"/>
      <c r="S49" s="120"/>
      <c r="T49" s="110"/>
    </row>
    <row r="50" spans="1:20" s="65" customFormat="1" outlineLevel="1">
      <c r="A50" s="138" t="s">
        <v>301</v>
      </c>
      <c r="B50" s="138"/>
      <c r="C50" s="110"/>
      <c r="D50" s="110"/>
      <c r="E50" s="110"/>
      <c r="F50" s="110"/>
      <c r="G50" s="110"/>
      <c r="H50" s="110"/>
      <c r="I50" s="110"/>
      <c r="J50" s="142"/>
      <c r="K50" s="142"/>
      <c r="L50" s="142"/>
      <c r="M50" s="142"/>
      <c r="N50" s="142"/>
      <c r="O50" s="142"/>
      <c r="P50" s="142"/>
      <c r="Q50" s="137"/>
      <c r="R50" s="120"/>
      <c r="S50" s="120"/>
      <c r="T50" s="110"/>
    </row>
    <row r="51" spans="1:20" s="65" customFormat="1" outlineLevel="1">
      <c r="A51" s="138"/>
      <c r="B51" s="138" t="s">
        <v>301</v>
      </c>
      <c r="C51" s="110"/>
      <c r="D51" s="110"/>
      <c r="E51" s="110"/>
      <c r="F51" s="110"/>
      <c r="G51" s="110"/>
      <c r="H51" s="110"/>
      <c r="I51" s="110"/>
      <c r="J51" s="142"/>
      <c r="K51" s="142"/>
      <c r="L51" s="142"/>
      <c r="M51" s="142"/>
      <c r="N51" s="142"/>
      <c r="O51" s="142"/>
      <c r="P51" s="142"/>
      <c r="Q51" s="137"/>
      <c r="R51" s="120"/>
      <c r="S51" s="120"/>
      <c r="T51" s="110"/>
    </row>
    <row r="52" spans="1:20" outlineLevel="1">
      <c r="A52" s="105"/>
      <c r="B52" s="106" t="s">
        <v>325</v>
      </c>
      <c r="C52" s="105"/>
      <c r="D52" s="107">
        <v>38000</v>
      </c>
      <c r="E52" s="107" t="s">
        <v>326</v>
      </c>
      <c r="F52" s="108"/>
      <c r="G52" s="109"/>
      <c r="H52" s="110"/>
      <c r="I52" s="111"/>
      <c r="J52" s="112">
        <v>434.68</v>
      </c>
      <c r="K52" s="111"/>
      <c r="L52" s="112">
        <v>248.76</v>
      </c>
      <c r="M52" s="111"/>
      <c r="N52" s="112">
        <v>312.18</v>
      </c>
      <c r="O52" s="111"/>
      <c r="P52" s="112">
        <v>4061.08</v>
      </c>
      <c r="Q52" s="113">
        <f t="shared" ref="Q52:Q53" si="2">IF(P$57=0,0,P52/P$57)</f>
        <v>1.3774254836820285E-3</v>
      </c>
      <c r="R52" s="114"/>
      <c r="S52" s="115"/>
      <c r="T52" s="105"/>
    </row>
    <row r="53" spans="1:20" outlineLevel="1">
      <c r="A53" s="105"/>
      <c r="B53" s="106" t="s">
        <v>308</v>
      </c>
      <c r="C53" s="105"/>
      <c r="D53" s="107">
        <v>38001</v>
      </c>
      <c r="E53" s="107" t="s">
        <v>534</v>
      </c>
      <c r="F53" s="108"/>
      <c r="G53" s="109"/>
      <c r="H53" s="110"/>
      <c r="I53" s="111"/>
      <c r="J53" s="112">
        <v>220.54</v>
      </c>
      <c r="K53" s="111"/>
      <c r="L53" s="112">
        <v>357.22</v>
      </c>
      <c r="M53" s="111"/>
      <c r="N53" s="112">
        <v>501.45</v>
      </c>
      <c r="O53" s="111"/>
      <c r="P53" s="112">
        <v>3104.12</v>
      </c>
      <c r="Q53" s="113">
        <f t="shared" si="2"/>
        <v>1.0528465315647706E-3</v>
      </c>
      <c r="R53" s="114"/>
      <c r="S53" s="115"/>
      <c r="T53" s="105"/>
    </row>
    <row r="54" spans="1:20" s="65" customFormat="1" ht="4.5" customHeight="1" outlineLevel="1">
      <c r="A54" s="138" t="s">
        <v>301</v>
      </c>
      <c r="B54" s="138" t="s">
        <v>301</v>
      </c>
      <c r="C54" s="110"/>
      <c r="D54" s="144"/>
      <c r="E54" s="110"/>
      <c r="F54" s="110"/>
      <c r="G54" s="110"/>
      <c r="H54" s="110"/>
      <c r="I54" s="110"/>
      <c r="J54" s="143"/>
      <c r="K54" s="142"/>
      <c r="L54" s="143"/>
      <c r="M54" s="142"/>
      <c r="N54" s="143"/>
      <c r="O54" s="142"/>
      <c r="P54" s="143"/>
      <c r="Q54" s="137"/>
      <c r="R54" s="120"/>
      <c r="S54" s="120"/>
      <c r="T54" s="110"/>
    </row>
    <row r="55" spans="1:20" s="65" customFormat="1">
      <c r="A55" s="140" t="s">
        <v>325</v>
      </c>
      <c r="B55" s="138" t="s">
        <v>301</v>
      </c>
      <c r="C55" s="110"/>
      <c r="D55" s="110"/>
      <c r="E55" s="110"/>
      <c r="F55" s="110" t="s">
        <v>326</v>
      </c>
      <c r="G55" s="110"/>
      <c r="H55" s="110"/>
      <c r="I55" s="110"/>
      <c r="J55" s="141">
        <f>SUM(J51:J54)</f>
        <v>655.22</v>
      </c>
      <c r="K55" s="142"/>
      <c r="L55" s="141">
        <f>SUM(L51:L54)</f>
        <v>605.98</v>
      </c>
      <c r="M55" s="142"/>
      <c r="N55" s="141">
        <f>SUM(N51:N54)</f>
        <v>813.63</v>
      </c>
      <c r="O55" s="142"/>
      <c r="P55" s="141">
        <f>SUM(P51:P54)</f>
        <v>7165.2</v>
      </c>
      <c r="Q55" s="113">
        <f>IF(P$57=0,0,P55/P$57)</f>
        <v>2.4302720152467993E-3</v>
      </c>
      <c r="R55" s="120"/>
      <c r="S55" s="120"/>
      <c r="T55" s="110"/>
    </row>
    <row r="56" spans="1:20" s="65" customFormat="1" ht="7.5" customHeight="1">
      <c r="A56" s="138" t="s">
        <v>301</v>
      </c>
      <c r="B56" s="138" t="s">
        <v>301</v>
      </c>
      <c r="C56" s="110"/>
      <c r="D56" s="110"/>
      <c r="E56" s="110"/>
      <c r="F56" s="110"/>
      <c r="G56" s="110"/>
      <c r="H56" s="110"/>
      <c r="I56" s="110"/>
      <c r="J56" s="142"/>
      <c r="K56" s="142"/>
      <c r="L56" s="142"/>
      <c r="M56" s="142"/>
      <c r="N56" s="142"/>
      <c r="O56" s="142"/>
      <c r="P56" s="142"/>
      <c r="Q56" s="137"/>
      <c r="R56" s="120"/>
      <c r="S56" s="120"/>
      <c r="T56" s="110"/>
    </row>
    <row r="57" spans="1:20" s="65" customFormat="1">
      <c r="A57" s="138" t="s">
        <v>301</v>
      </c>
      <c r="B57" s="138" t="s">
        <v>301</v>
      </c>
      <c r="C57" s="110"/>
      <c r="D57" s="110"/>
      <c r="E57" s="145" t="s">
        <v>4</v>
      </c>
      <c r="F57" s="110"/>
      <c r="G57" s="110"/>
      <c r="H57" s="110"/>
      <c r="I57" s="110"/>
      <c r="J57" s="146">
        <f>+J29+J36+J41+J55+J25+J45+J49</f>
        <v>247237.56999999998</v>
      </c>
      <c r="K57" s="142"/>
      <c r="L57" s="146">
        <f>+L29+L36+L41+L55+L25+L45+L49</f>
        <v>247753.49</v>
      </c>
      <c r="M57" s="142"/>
      <c r="N57" s="146">
        <f>+N29+N36+N41+N55+N25+N45+N49</f>
        <v>236675.12</v>
      </c>
      <c r="O57" s="142"/>
      <c r="P57" s="146">
        <f>+P29+P36+P41+P55+P25+P45+P49</f>
        <v>2948311.94</v>
      </c>
      <c r="Q57" s="113">
        <f>IF(P$57=0,0,P57/P$57)</f>
        <v>1</v>
      </c>
      <c r="R57" s="120"/>
      <c r="S57" s="120"/>
      <c r="T57" s="110"/>
    </row>
    <row r="58" spans="1:20" s="65" customFormat="1" ht="7.5" customHeight="1">
      <c r="A58" s="138" t="s">
        <v>301</v>
      </c>
      <c r="B58" s="138" t="s">
        <v>301</v>
      </c>
      <c r="C58" s="110"/>
      <c r="D58" s="110"/>
      <c r="E58" s="110"/>
      <c r="F58" s="110"/>
      <c r="G58" s="110"/>
      <c r="H58" s="110"/>
      <c r="I58" s="110"/>
      <c r="J58" s="142"/>
      <c r="K58" s="142"/>
      <c r="L58" s="142"/>
      <c r="M58" s="142"/>
      <c r="N58" s="142"/>
      <c r="O58" s="142"/>
      <c r="P58" s="142"/>
      <c r="Q58" s="137"/>
      <c r="R58" s="120"/>
      <c r="S58" s="120"/>
      <c r="T58" s="110"/>
    </row>
    <row r="59" spans="1:20" s="65" customFormat="1" outlineLevel="1">
      <c r="A59" s="138" t="s">
        <v>301</v>
      </c>
      <c r="B59" s="138"/>
      <c r="C59" s="110"/>
      <c r="D59" s="110"/>
      <c r="E59" s="110"/>
      <c r="F59" s="110"/>
      <c r="G59" s="110"/>
      <c r="H59" s="110"/>
      <c r="I59" s="110"/>
      <c r="J59" s="142"/>
      <c r="K59" s="142"/>
      <c r="L59" s="142"/>
      <c r="M59" s="142"/>
      <c r="N59" s="142"/>
      <c r="O59" s="142"/>
      <c r="P59" s="142"/>
      <c r="Q59" s="137"/>
      <c r="R59" s="120"/>
      <c r="S59" s="120"/>
      <c r="T59" s="110"/>
    </row>
    <row r="60" spans="1:20" outlineLevel="1">
      <c r="A60" s="105"/>
      <c r="B60" s="106" t="s">
        <v>327</v>
      </c>
      <c r="C60" s="105"/>
      <c r="D60" s="107">
        <v>40101</v>
      </c>
      <c r="E60" s="107" t="s">
        <v>328</v>
      </c>
      <c r="F60" s="108"/>
      <c r="G60" s="109"/>
      <c r="H60" s="110"/>
      <c r="I60" s="111"/>
      <c r="J60" s="112">
        <v>57926.7</v>
      </c>
      <c r="K60" s="111"/>
      <c r="L60" s="112">
        <v>58990.78</v>
      </c>
      <c r="M60" s="111"/>
      <c r="N60" s="112">
        <v>62094.84</v>
      </c>
      <c r="O60" s="111"/>
      <c r="P60" s="112">
        <v>701229.45</v>
      </c>
      <c r="Q60" s="113">
        <f t="shared" ref="Q60:Q62" si="3">IF(P$57=0,0,P60/P$57)</f>
        <v>0.23784099656700503</v>
      </c>
      <c r="R60" s="114"/>
      <c r="S60" s="115"/>
      <c r="T60" s="105"/>
    </row>
    <row r="61" spans="1:20" outlineLevel="1">
      <c r="A61" s="105"/>
      <c r="B61" s="106" t="s">
        <v>308</v>
      </c>
      <c r="C61" s="105"/>
      <c r="D61" s="107">
        <v>40121</v>
      </c>
      <c r="E61" s="107" t="s">
        <v>329</v>
      </c>
      <c r="F61" s="108"/>
      <c r="G61" s="109"/>
      <c r="H61" s="110"/>
      <c r="I61" s="111"/>
      <c r="J61" s="112">
        <v>3827.33</v>
      </c>
      <c r="K61" s="111"/>
      <c r="L61" s="112">
        <v>5396.97</v>
      </c>
      <c r="M61" s="111"/>
      <c r="N61" s="112">
        <v>4836.8999999999996</v>
      </c>
      <c r="O61" s="111"/>
      <c r="P61" s="112">
        <v>57267.71</v>
      </c>
      <c r="Q61" s="113">
        <f t="shared" si="3"/>
        <v>1.9423897866112497E-2</v>
      </c>
      <c r="R61" s="114"/>
      <c r="S61" s="115"/>
      <c r="T61" s="105"/>
    </row>
    <row r="62" spans="1:20" outlineLevel="1">
      <c r="A62" s="105"/>
      <c r="B62" s="106" t="s">
        <v>308</v>
      </c>
      <c r="C62" s="105"/>
      <c r="D62" s="107">
        <v>40131</v>
      </c>
      <c r="E62" s="107" t="s">
        <v>535</v>
      </c>
      <c r="F62" s="108"/>
      <c r="G62" s="109"/>
      <c r="H62" s="110"/>
      <c r="I62" s="111"/>
      <c r="J62" s="112">
        <v>9681.8799999999992</v>
      </c>
      <c r="K62" s="111"/>
      <c r="L62" s="112">
        <v>12888.01</v>
      </c>
      <c r="M62" s="111"/>
      <c r="N62" s="112">
        <v>14175.63</v>
      </c>
      <c r="O62" s="111"/>
      <c r="P62" s="112">
        <v>147324</v>
      </c>
      <c r="Q62" s="113">
        <f t="shared" si="3"/>
        <v>4.9968932391868955E-2</v>
      </c>
      <c r="R62" s="114"/>
      <c r="S62" s="115"/>
      <c r="T62" s="105"/>
    </row>
    <row r="63" spans="1:20" s="65" customFormat="1" ht="5.0999999999999996" customHeight="1" outlineLevel="1">
      <c r="A63" s="138"/>
      <c r="B63" s="138" t="s">
        <v>301</v>
      </c>
      <c r="C63" s="110"/>
      <c r="D63" s="108"/>
      <c r="E63" s="108"/>
      <c r="F63" s="108"/>
      <c r="G63" s="108"/>
      <c r="H63" s="110"/>
      <c r="I63" s="110"/>
      <c r="J63" s="143"/>
      <c r="K63" s="142"/>
      <c r="L63" s="143"/>
      <c r="M63" s="142"/>
      <c r="N63" s="143"/>
      <c r="O63" s="142"/>
      <c r="P63" s="143"/>
      <c r="Q63" s="137"/>
      <c r="R63" s="120"/>
      <c r="S63" s="120"/>
      <c r="T63" s="110"/>
    </row>
    <row r="64" spans="1:20" s="65" customFormat="1">
      <c r="A64" s="140" t="s">
        <v>327</v>
      </c>
      <c r="B64" s="138" t="s">
        <v>301</v>
      </c>
      <c r="C64" s="110"/>
      <c r="D64" s="110"/>
      <c r="E64" s="110"/>
      <c r="F64" s="108" t="s">
        <v>330</v>
      </c>
      <c r="G64" s="110"/>
      <c r="H64" s="110"/>
      <c r="I64" s="110"/>
      <c r="J64" s="141">
        <f>SUM(J59:J63)</f>
        <v>71435.91</v>
      </c>
      <c r="K64" s="142"/>
      <c r="L64" s="141">
        <f>SUM(L59:L63)</f>
        <v>77275.759999999995</v>
      </c>
      <c r="M64" s="142"/>
      <c r="N64" s="141">
        <f>SUM(N59:N63)</f>
        <v>81107.37</v>
      </c>
      <c r="O64" s="142"/>
      <c r="P64" s="141">
        <f>SUM(P59:P63)</f>
        <v>905821.15999999992</v>
      </c>
      <c r="Q64" s="113">
        <f>IF(P$57=0,0,P64/P$57)</f>
        <v>0.30723382682498646</v>
      </c>
      <c r="R64" s="120"/>
      <c r="S64" s="120"/>
      <c r="T64" s="110"/>
    </row>
    <row r="65" spans="1:20" s="65" customFormat="1" outlineLevel="1">
      <c r="A65" s="138" t="s">
        <v>301</v>
      </c>
      <c r="B65" s="138"/>
      <c r="C65" s="110"/>
      <c r="D65" s="110"/>
      <c r="E65" s="110"/>
      <c r="F65" s="110"/>
      <c r="G65" s="110"/>
      <c r="H65" s="110"/>
      <c r="I65" s="110"/>
      <c r="J65" s="142"/>
      <c r="K65" s="142"/>
      <c r="L65" s="142"/>
      <c r="M65" s="142"/>
      <c r="N65" s="142"/>
      <c r="O65" s="142"/>
      <c r="P65" s="142"/>
      <c r="Q65" s="137"/>
      <c r="R65" s="120"/>
      <c r="S65" s="120"/>
      <c r="T65" s="110"/>
    </row>
    <row r="66" spans="1:20" outlineLevel="1">
      <c r="A66" s="105"/>
      <c r="B66" s="106" t="s">
        <v>331</v>
      </c>
      <c r="C66" s="105"/>
      <c r="D66" s="107"/>
      <c r="E66" s="107"/>
      <c r="F66" s="108"/>
      <c r="G66" s="109"/>
      <c r="H66" s="110"/>
      <c r="I66" s="111"/>
      <c r="J66" s="112"/>
      <c r="K66" s="111"/>
      <c r="L66" s="112"/>
      <c r="M66" s="111"/>
      <c r="N66" s="112"/>
      <c r="O66" s="111"/>
      <c r="P66" s="112"/>
      <c r="Q66" s="113"/>
      <c r="R66" s="114"/>
      <c r="S66" s="115"/>
      <c r="T66" s="105"/>
    </row>
    <row r="67" spans="1:20" s="65" customFormat="1" ht="4.5" customHeight="1" outlineLevel="1">
      <c r="A67" s="138"/>
      <c r="B67" s="147" t="s">
        <v>301</v>
      </c>
      <c r="C67" s="110"/>
      <c r="D67" s="144"/>
      <c r="E67" s="110"/>
      <c r="F67" s="110"/>
      <c r="G67" s="110"/>
      <c r="H67" s="110"/>
      <c r="I67" s="110"/>
      <c r="J67" s="143"/>
      <c r="K67" s="142"/>
      <c r="L67" s="143"/>
      <c r="M67" s="142"/>
      <c r="N67" s="143"/>
      <c r="O67" s="142"/>
      <c r="P67" s="143"/>
      <c r="Q67" s="137"/>
      <c r="R67" s="120"/>
      <c r="S67" s="120"/>
      <c r="T67" s="110"/>
    </row>
    <row r="68" spans="1:20" s="65" customFormat="1">
      <c r="A68" s="140" t="s">
        <v>331</v>
      </c>
      <c r="B68" s="138" t="s">
        <v>301</v>
      </c>
      <c r="C68" s="110"/>
      <c r="D68" s="110"/>
      <c r="E68" s="110"/>
      <c r="F68" s="110" t="s">
        <v>332</v>
      </c>
      <c r="G68" s="110"/>
      <c r="H68" s="110"/>
      <c r="I68" s="110"/>
      <c r="J68" s="141">
        <f>SUM(J66:J67)</f>
        <v>0</v>
      </c>
      <c r="K68" s="142"/>
      <c r="L68" s="141">
        <f>SUM(L66:L67)</f>
        <v>0</v>
      </c>
      <c r="M68" s="142"/>
      <c r="N68" s="141">
        <f>SUM(N66:N67)</f>
        <v>0</v>
      </c>
      <c r="O68" s="142"/>
      <c r="P68" s="141">
        <f>SUM(P66:P67)</f>
        <v>0</v>
      </c>
      <c r="Q68" s="113">
        <f>IF(P$57=0,0,P68/P$57)</f>
        <v>0</v>
      </c>
      <c r="R68" s="120"/>
      <c r="S68" s="120"/>
      <c r="T68" s="110"/>
    </row>
    <row r="69" spans="1:20" s="65" customFormat="1" outlineLevel="1">
      <c r="A69" s="148" t="s">
        <v>301</v>
      </c>
      <c r="B69" s="138"/>
      <c r="C69" s="110"/>
      <c r="D69" s="110"/>
      <c r="E69" s="110"/>
      <c r="F69" s="110"/>
      <c r="G69" s="110"/>
      <c r="H69" s="110"/>
      <c r="I69" s="110"/>
      <c r="J69" s="142"/>
      <c r="K69" s="142"/>
      <c r="L69" s="142"/>
      <c r="M69" s="142"/>
      <c r="N69" s="142"/>
      <c r="O69" s="142"/>
      <c r="P69" s="142"/>
      <c r="Q69" s="137"/>
      <c r="R69" s="120"/>
      <c r="S69" s="120"/>
      <c r="T69" s="110"/>
    </row>
    <row r="70" spans="1:20" s="65" customFormat="1" outlineLevel="1">
      <c r="A70" s="138" t="s">
        <v>301</v>
      </c>
      <c r="B70" s="138" t="s">
        <v>301</v>
      </c>
      <c r="C70" s="110"/>
      <c r="D70" s="110"/>
      <c r="E70" s="110"/>
      <c r="F70" s="110"/>
      <c r="G70" s="110"/>
      <c r="H70" s="110"/>
      <c r="I70" s="110"/>
      <c r="J70" s="142"/>
      <c r="K70" s="142"/>
      <c r="L70" s="142"/>
      <c r="M70" s="142"/>
      <c r="N70" s="142"/>
      <c r="O70" s="142"/>
      <c r="P70" s="142"/>
      <c r="Q70" s="137"/>
      <c r="R70" s="120"/>
      <c r="S70" s="120"/>
      <c r="T70" s="110"/>
    </row>
    <row r="71" spans="1:20" outlineLevel="1">
      <c r="A71" s="105"/>
      <c r="B71" s="106" t="s">
        <v>333</v>
      </c>
      <c r="C71" s="105"/>
      <c r="D71" s="107">
        <v>41201</v>
      </c>
      <c r="E71" s="107" t="s">
        <v>334</v>
      </c>
      <c r="F71" s="108"/>
      <c r="G71" s="109"/>
      <c r="H71" s="110"/>
      <c r="I71" s="111"/>
      <c r="J71" s="112">
        <v>2453.98</v>
      </c>
      <c r="K71" s="111"/>
      <c r="L71" s="112">
        <v>2442.12</v>
      </c>
      <c r="M71" s="111"/>
      <c r="N71" s="112">
        <v>2415.5700000000002</v>
      </c>
      <c r="O71" s="111"/>
      <c r="P71" s="112">
        <v>29313.17</v>
      </c>
      <c r="Q71" s="113">
        <f t="shared" ref="Q71:Q73" si="4">IF(P$57=0,0,P71/P$57)</f>
        <v>9.9423570492340775E-3</v>
      </c>
      <c r="R71" s="114"/>
      <c r="S71" s="115"/>
      <c r="T71" s="105"/>
    </row>
    <row r="72" spans="1:20" outlineLevel="1">
      <c r="A72" s="105"/>
      <c r="B72" s="106" t="s">
        <v>308</v>
      </c>
      <c r="C72" s="105"/>
      <c r="D72" s="107">
        <v>43001</v>
      </c>
      <c r="E72" s="107" t="s">
        <v>335</v>
      </c>
      <c r="F72" s="108"/>
      <c r="G72" s="109"/>
      <c r="H72" s="110"/>
      <c r="I72" s="111"/>
      <c r="J72" s="112">
        <v>5560.13</v>
      </c>
      <c r="K72" s="111"/>
      <c r="L72" s="112">
        <v>3766.5</v>
      </c>
      <c r="M72" s="111"/>
      <c r="N72" s="112">
        <v>3531.01</v>
      </c>
      <c r="O72" s="111"/>
      <c r="P72" s="112">
        <v>46408.84</v>
      </c>
      <c r="Q72" s="113">
        <f t="shared" si="4"/>
        <v>1.5740817438740895E-2</v>
      </c>
      <c r="R72" s="114"/>
      <c r="S72" s="115"/>
      <c r="T72" s="105"/>
    </row>
    <row r="73" spans="1:20" outlineLevel="1">
      <c r="A73" s="105"/>
      <c r="B73" s="106" t="s">
        <v>308</v>
      </c>
      <c r="C73" s="105"/>
      <c r="D73" s="107">
        <v>43002</v>
      </c>
      <c r="E73" s="107" t="s">
        <v>336</v>
      </c>
      <c r="F73" s="108"/>
      <c r="G73" s="109"/>
      <c r="H73" s="110"/>
      <c r="I73" s="111"/>
      <c r="J73" s="112">
        <v>717</v>
      </c>
      <c r="K73" s="111"/>
      <c r="L73" s="112">
        <v>1139</v>
      </c>
      <c r="M73" s="111"/>
      <c r="N73" s="112">
        <v>546</v>
      </c>
      <c r="O73" s="111"/>
      <c r="P73" s="112">
        <v>11158.23</v>
      </c>
      <c r="Q73" s="113">
        <f t="shared" si="4"/>
        <v>3.7846164948204227E-3</v>
      </c>
      <c r="R73" s="114"/>
      <c r="S73" s="115"/>
      <c r="T73" s="105"/>
    </row>
    <row r="74" spans="1:20" s="65" customFormat="1" ht="5.0999999999999996" customHeight="1" outlineLevel="1">
      <c r="A74" s="138" t="s">
        <v>301</v>
      </c>
      <c r="B74" s="140" t="s">
        <v>301</v>
      </c>
      <c r="C74" s="110"/>
      <c r="D74" s="108"/>
      <c r="E74" s="108"/>
      <c r="F74" s="108"/>
      <c r="G74" s="108"/>
      <c r="H74" s="110"/>
      <c r="I74" s="110"/>
      <c r="J74" s="143"/>
      <c r="K74" s="142"/>
      <c r="L74" s="143"/>
      <c r="M74" s="142"/>
      <c r="N74" s="143"/>
      <c r="O74" s="142"/>
      <c r="P74" s="143"/>
      <c r="Q74" s="137"/>
      <c r="R74" s="120"/>
      <c r="S74" s="120"/>
      <c r="T74" s="110"/>
    </row>
    <row r="75" spans="1:20" s="65" customFormat="1">
      <c r="A75" s="140" t="s">
        <v>333</v>
      </c>
      <c r="B75" s="138" t="s">
        <v>301</v>
      </c>
      <c r="C75" s="110"/>
      <c r="D75" s="110"/>
      <c r="E75" s="110"/>
      <c r="F75" s="108" t="s">
        <v>337</v>
      </c>
      <c r="G75" s="149"/>
      <c r="H75" s="149"/>
      <c r="I75" s="149"/>
      <c r="J75" s="141">
        <f>SUM(J70:J74)</f>
        <v>8731.11</v>
      </c>
      <c r="K75" s="142"/>
      <c r="L75" s="141">
        <f>SUM(L70:L74)</f>
        <v>7347.62</v>
      </c>
      <c r="M75" s="142"/>
      <c r="N75" s="141">
        <f>SUM(N70:N74)</f>
        <v>6492.58</v>
      </c>
      <c r="O75" s="142"/>
      <c r="P75" s="141">
        <f>SUM(P70:P74)</f>
        <v>86880.239999999991</v>
      </c>
      <c r="Q75" s="113">
        <f>IF(P$57=0,0,P75/P$57)</f>
        <v>2.9467790982795394E-2</v>
      </c>
      <c r="R75" s="120"/>
      <c r="S75" s="120"/>
      <c r="T75" s="110"/>
    </row>
    <row r="76" spans="1:20" s="65" customFormat="1" outlineLevel="1">
      <c r="A76" s="140" t="s">
        <v>301</v>
      </c>
      <c r="B76" s="138"/>
      <c r="C76" s="110"/>
      <c r="D76" s="110"/>
      <c r="E76" s="110"/>
      <c r="F76" s="110"/>
      <c r="G76" s="110"/>
      <c r="H76" s="110"/>
      <c r="I76" s="110"/>
      <c r="J76" s="142"/>
      <c r="K76" s="142"/>
      <c r="L76" s="142"/>
      <c r="M76" s="142"/>
      <c r="N76" s="142"/>
      <c r="O76" s="142"/>
      <c r="P76" s="142"/>
      <c r="Q76" s="137"/>
      <c r="R76" s="120"/>
      <c r="S76" s="120"/>
      <c r="T76" s="110"/>
    </row>
    <row r="77" spans="1:20" s="65" customFormat="1" outlineLevel="1">
      <c r="A77" s="138" t="s">
        <v>301</v>
      </c>
      <c r="B77" s="138" t="s">
        <v>301</v>
      </c>
      <c r="C77" s="110"/>
      <c r="D77" s="110"/>
      <c r="E77" s="110"/>
      <c r="F77" s="110"/>
      <c r="G77" s="110"/>
      <c r="H77" s="110"/>
      <c r="I77" s="110"/>
      <c r="J77" s="142"/>
      <c r="K77" s="142"/>
      <c r="L77" s="142"/>
      <c r="M77" s="142"/>
      <c r="N77" s="142"/>
      <c r="O77" s="142"/>
      <c r="P77" s="142"/>
      <c r="Q77" s="137"/>
      <c r="R77" s="120"/>
      <c r="S77" s="120"/>
      <c r="T77" s="110"/>
    </row>
    <row r="78" spans="1:20" outlineLevel="1">
      <c r="A78" s="105"/>
      <c r="B78" s="106" t="s">
        <v>338</v>
      </c>
      <c r="C78" s="105"/>
      <c r="D78" s="107">
        <v>44161</v>
      </c>
      <c r="E78" s="107" t="s">
        <v>501</v>
      </c>
      <c r="F78" s="108"/>
      <c r="G78" s="109"/>
      <c r="H78" s="110"/>
      <c r="I78" s="111"/>
      <c r="J78" s="112">
        <v>487.8</v>
      </c>
      <c r="K78" s="111"/>
      <c r="L78" s="112">
        <v>642</v>
      </c>
      <c r="M78" s="111"/>
      <c r="N78" s="112">
        <v>541.79999999999995</v>
      </c>
      <c r="O78" s="111"/>
      <c r="P78" s="112">
        <v>7655.74</v>
      </c>
      <c r="Q78" s="113">
        <f t="shared" ref="Q78:Q79" si="5">IF(P$57=0,0,P78/P$57)</f>
        <v>2.596651967566227E-3</v>
      </c>
      <c r="R78" s="114"/>
      <c r="S78" s="115"/>
      <c r="T78" s="105"/>
    </row>
    <row r="79" spans="1:20" outlineLevel="1">
      <c r="A79" s="105"/>
      <c r="B79" s="106" t="s">
        <v>308</v>
      </c>
      <c r="C79" s="105"/>
      <c r="D79" s="107">
        <v>44168</v>
      </c>
      <c r="E79" s="107" t="s">
        <v>502</v>
      </c>
      <c r="F79" s="108"/>
      <c r="G79" s="109"/>
      <c r="H79" s="110"/>
      <c r="I79" s="111"/>
      <c r="J79" s="112">
        <v>272.43</v>
      </c>
      <c r="K79" s="111"/>
      <c r="L79" s="112">
        <v>136.12</v>
      </c>
      <c r="M79" s="111"/>
      <c r="N79" s="112">
        <v>293.22000000000003</v>
      </c>
      <c r="O79" s="111"/>
      <c r="P79" s="112">
        <v>969.32</v>
      </c>
      <c r="Q79" s="113">
        <f t="shared" si="5"/>
        <v>3.287711815188728E-4</v>
      </c>
      <c r="R79" s="114"/>
      <c r="S79" s="115"/>
      <c r="T79" s="105"/>
    </row>
    <row r="80" spans="1:20" s="65" customFormat="1" ht="5.0999999999999996" customHeight="1" outlineLevel="1">
      <c r="A80" s="138" t="s">
        <v>301</v>
      </c>
      <c r="B80" s="140" t="s">
        <v>301</v>
      </c>
      <c r="C80" s="110"/>
      <c r="D80" s="108"/>
      <c r="E80" s="108"/>
      <c r="F80" s="108"/>
      <c r="G80" s="108"/>
      <c r="H80" s="110"/>
      <c r="I80" s="110"/>
      <c r="J80" s="143"/>
      <c r="K80" s="142"/>
      <c r="L80" s="143"/>
      <c r="M80" s="142"/>
      <c r="N80" s="143"/>
      <c r="O80" s="142"/>
      <c r="P80" s="143"/>
      <c r="Q80" s="137"/>
      <c r="R80" s="120"/>
      <c r="S80" s="120"/>
      <c r="T80" s="110"/>
    </row>
    <row r="81" spans="1:20" s="65" customFormat="1">
      <c r="A81" s="140" t="s">
        <v>338</v>
      </c>
      <c r="B81" s="140" t="s">
        <v>301</v>
      </c>
      <c r="C81" s="110"/>
      <c r="D81" s="110"/>
      <c r="E81" s="110"/>
      <c r="F81" s="108" t="s">
        <v>339</v>
      </c>
      <c r="G81" s="149"/>
      <c r="H81" s="149"/>
      <c r="I81" s="149"/>
      <c r="J81" s="141">
        <f>SUM(J77:J80)</f>
        <v>760.23</v>
      </c>
      <c r="K81" s="142"/>
      <c r="L81" s="141">
        <f>SUM(L77:L80)</f>
        <v>778.12</v>
      </c>
      <c r="M81" s="142"/>
      <c r="N81" s="141">
        <f>SUM(N77:N80)</f>
        <v>835.02</v>
      </c>
      <c r="O81" s="142"/>
      <c r="P81" s="141">
        <f>SUM(P77:P80)</f>
        <v>8625.06</v>
      </c>
      <c r="Q81" s="113">
        <f>IF(P$57=0,0,P81/P$57)</f>
        <v>2.9254231490850996E-3</v>
      </c>
      <c r="R81" s="120"/>
      <c r="S81" s="120"/>
      <c r="T81" s="110"/>
    </row>
    <row r="82" spans="1:20" s="65" customFormat="1" outlineLevel="1">
      <c r="A82" s="140" t="s">
        <v>301</v>
      </c>
      <c r="B82" s="138" t="s">
        <v>301</v>
      </c>
      <c r="C82" s="110"/>
      <c r="D82" s="110"/>
      <c r="E82" s="110"/>
      <c r="F82" s="110"/>
      <c r="G82" s="110"/>
      <c r="H82" s="110"/>
      <c r="I82" s="110"/>
      <c r="J82" s="142"/>
      <c r="K82" s="142"/>
      <c r="L82" s="142"/>
      <c r="M82" s="142"/>
      <c r="N82" s="142"/>
      <c r="O82" s="142"/>
      <c r="P82" s="142"/>
      <c r="Q82" s="137"/>
      <c r="R82" s="120"/>
      <c r="S82" s="120"/>
      <c r="T82" s="110"/>
    </row>
    <row r="83" spans="1:20" outlineLevel="1">
      <c r="A83" s="105"/>
      <c r="B83" s="106" t="s">
        <v>340</v>
      </c>
      <c r="C83" s="105"/>
      <c r="D83" s="107"/>
      <c r="E83" s="107"/>
      <c r="F83" s="108"/>
      <c r="G83" s="109"/>
      <c r="H83" s="110"/>
      <c r="I83" s="111"/>
      <c r="J83" s="112"/>
      <c r="K83" s="111"/>
      <c r="L83" s="112"/>
      <c r="M83" s="111"/>
      <c r="N83" s="112"/>
      <c r="O83" s="111"/>
      <c r="P83" s="112"/>
      <c r="Q83" s="113"/>
      <c r="R83" s="114"/>
      <c r="S83" s="115"/>
      <c r="T83" s="105"/>
    </row>
    <row r="84" spans="1:20" s="65" customFormat="1" ht="4.5" customHeight="1" outlineLevel="1">
      <c r="A84" s="138" t="s">
        <v>301</v>
      </c>
      <c r="B84" s="147" t="s">
        <v>301</v>
      </c>
      <c r="C84" s="110"/>
      <c r="D84" s="144"/>
      <c r="E84" s="110"/>
      <c r="F84" s="110"/>
      <c r="G84" s="110"/>
      <c r="H84" s="110"/>
      <c r="I84" s="110"/>
      <c r="J84" s="143"/>
      <c r="K84" s="142"/>
      <c r="L84" s="143"/>
      <c r="M84" s="142"/>
      <c r="N84" s="143"/>
      <c r="O84" s="142"/>
      <c r="P84" s="143"/>
      <c r="Q84" s="137"/>
      <c r="R84" s="120"/>
      <c r="S84" s="120"/>
      <c r="T84" s="110"/>
    </row>
    <row r="85" spans="1:20" s="65" customFormat="1">
      <c r="A85" s="140" t="s">
        <v>340</v>
      </c>
      <c r="B85" s="138" t="s">
        <v>301</v>
      </c>
      <c r="C85" s="110"/>
      <c r="D85" s="110"/>
      <c r="E85" s="110"/>
      <c r="F85" s="110" t="s">
        <v>341</v>
      </c>
      <c r="G85" s="110"/>
      <c r="H85" s="110"/>
      <c r="I85" s="110"/>
      <c r="J85" s="141">
        <f>SUM(J83:J84)</f>
        <v>0</v>
      </c>
      <c r="K85" s="142"/>
      <c r="L85" s="141">
        <f>SUM(L83:L84)</f>
        <v>0</v>
      </c>
      <c r="M85" s="142"/>
      <c r="N85" s="141">
        <f>SUM(N83:N84)</f>
        <v>0</v>
      </c>
      <c r="O85" s="142"/>
      <c r="P85" s="141">
        <f>SUM(P83:P84)</f>
        <v>0</v>
      </c>
      <c r="Q85" s="113">
        <f>IF(P$57=0,0,P85/P$57)</f>
        <v>0</v>
      </c>
      <c r="R85" s="120"/>
      <c r="S85" s="120"/>
      <c r="T85" s="110"/>
    </row>
    <row r="86" spans="1:20" s="65" customFormat="1" ht="7.5" customHeight="1">
      <c r="A86" s="148" t="s">
        <v>301</v>
      </c>
      <c r="B86" s="140" t="s">
        <v>301</v>
      </c>
      <c r="C86" s="110"/>
      <c r="D86" s="110"/>
      <c r="E86" s="110"/>
      <c r="F86" s="110"/>
      <c r="G86" s="110"/>
      <c r="H86" s="110"/>
      <c r="I86" s="110"/>
      <c r="J86" s="142"/>
      <c r="K86" s="142"/>
      <c r="L86" s="142"/>
      <c r="M86" s="142"/>
      <c r="N86" s="142"/>
      <c r="O86" s="142"/>
      <c r="P86" s="142"/>
      <c r="Q86" s="137"/>
      <c r="R86" s="120"/>
      <c r="S86" s="120"/>
      <c r="T86" s="110"/>
    </row>
    <row r="87" spans="1:20" s="65" customFormat="1">
      <c r="A87" s="138" t="s">
        <v>301</v>
      </c>
      <c r="B87" s="140" t="s">
        <v>301</v>
      </c>
      <c r="C87" s="110"/>
      <c r="D87" s="110"/>
      <c r="E87" s="145" t="s">
        <v>342</v>
      </c>
      <c r="F87" s="110"/>
      <c r="G87" s="110"/>
      <c r="H87" s="110"/>
      <c r="I87" s="110"/>
      <c r="J87" s="146">
        <f>+J64+J75+J81+J68+J85</f>
        <v>80927.25</v>
      </c>
      <c r="K87" s="142"/>
      <c r="L87" s="146">
        <f>+L64+L75+L81+L68+L85</f>
        <v>85401.499999999985</v>
      </c>
      <c r="M87" s="142"/>
      <c r="N87" s="146">
        <f>+N64+N75+N81+N68+N85</f>
        <v>88434.97</v>
      </c>
      <c r="O87" s="142"/>
      <c r="P87" s="146">
        <f>+P64+P75+P81+P68+P85</f>
        <v>1001326.46</v>
      </c>
      <c r="Q87" s="113">
        <f>IF(P$57=0,0,P87/P$57)</f>
        <v>0.33962704095686697</v>
      </c>
      <c r="R87" s="120"/>
      <c r="S87" s="120"/>
      <c r="T87" s="110"/>
    </row>
    <row r="88" spans="1:20" s="65" customFormat="1" ht="7.5" customHeight="1">
      <c r="A88" s="140" t="s">
        <v>301</v>
      </c>
      <c r="B88" s="140" t="s">
        <v>301</v>
      </c>
      <c r="C88" s="110"/>
      <c r="D88" s="110"/>
      <c r="E88" s="110"/>
      <c r="F88" s="110"/>
      <c r="G88" s="110"/>
      <c r="H88" s="110"/>
      <c r="I88" s="110"/>
      <c r="J88" s="142"/>
      <c r="K88" s="142"/>
      <c r="L88" s="142"/>
      <c r="M88" s="142"/>
      <c r="N88" s="142"/>
      <c r="O88" s="142"/>
      <c r="P88" s="142"/>
      <c r="Q88" s="137"/>
      <c r="R88" s="120"/>
      <c r="S88" s="120"/>
      <c r="T88" s="110"/>
    </row>
    <row r="89" spans="1:20" s="65" customFormat="1">
      <c r="A89" s="140" t="s">
        <v>301</v>
      </c>
      <c r="B89" s="140" t="s">
        <v>301</v>
      </c>
      <c r="C89" s="110"/>
      <c r="D89" s="110"/>
      <c r="E89" s="150" t="s">
        <v>343</v>
      </c>
      <c r="F89" s="110"/>
      <c r="G89" s="110"/>
      <c r="H89" s="110"/>
      <c r="I89" s="110"/>
      <c r="J89" s="146">
        <f>J57-J87</f>
        <v>166310.31999999998</v>
      </c>
      <c r="K89" s="142"/>
      <c r="L89" s="146">
        <f>L57-L87</f>
        <v>162351.99</v>
      </c>
      <c r="M89" s="142"/>
      <c r="N89" s="146">
        <f>N57-N87</f>
        <v>148240.15</v>
      </c>
      <c r="O89" s="142"/>
      <c r="P89" s="146">
        <f>P57-P87</f>
        <v>1946985.48</v>
      </c>
      <c r="Q89" s="113">
        <f>IF(P$57=0,0,P89/P$57)</f>
        <v>0.66037295904313298</v>
      </c>
      <c r="R89" s="120"/>
      <c r="S89" s="120"/>
      <c r="T89" s="110"/>
    </row>
    <row r="90" spans="1:20" s="65" customFormat="1" ht="7.5" customHeight="1">
      <c r="A90" s="140" t="s">
        <v>301</v>
      </c>
      <c r="B90" s="140" t="s">
        <v>301</v>
      </c>
      <c r="C90" s="110"/>
      <c r="D90" s="110"/>
      <c r="E90" s="110"/>
      <c r="F90" s="110"/>
      <c r="G90" s="110"/>
      <c r="H90" s="110"/>
      <c r="I90" s="110"/>
      <c r="J90" s="142"/>
      <c r="K90" s="142"/>
      <c r="L90" s="142"/>
      <c r="M90" s="142"/>
      <c r="N90" s="142"/>
      <c r="O90" s="142"/>
      <c r="P90" s="142"/>
      <c r="Q90" s="137"/>
      <c r="R90" s="120"/>
      <c r="S90" s="120"/>
      <c r="T90" s="110"/>
    </row>
    <row r="91" spans="1:20" s="65" customFormat="1" outlineLevel="1">
      <c r="A91" s="140" t="s">
        <v>301</v>
      </c>
      <c r="B91" s="140"/>
      <c r="C91" s="110"/>
      <c r="D91" s="110"/>
      <c r="E91" s="110"/>
      <c r="F91" s="110"/>
      <c r="G91" s="110"/>
      <c r="H91" s="110"/>
      <c r="I91" s="110"/>
      <c r="J91" s="142"/>
      <c r="K91" s="142"/>
      <c r="L91" s="142"/>
      <c r="M91" s="142"/>
      <c r="N91" s="142"/>
      <c r="O91" s="142"/>
      <c r="P91" s="142"/>
      <c r="Q91" s="137"/>
      <c r="R91" s="120"/>
      <c r="S91" s="120"/>
      <c r="T91" s="110"/>
    </row>
    <row r="92" spans="1:20" outlineLevel="1">
      <c r="A92" s="105"/>
      <c r="B92" s="106" t="s">
        <v>344</v>
      </c>
      <c r="C92" s="105"/>
      <c r="D92" s="107">
        <v>50020</v>
      </c>
      <c r="E92" s="107" t="s">
        <v>345</v>
      </c>
      <c r="F92" s="108"/>
      <c r="G92" s="109"/>
      <c r="H92" s="110"/>
      <c r="I92" s="111"/>
      <c r="J92" s="112">
        <v>32098.14</v>
      </c>
      <c r="K92" s="111"/>
      <c r="L92" s="112">
        <v>29373.22</v>
      </c>
      <c r="M92" s="111"/>
      <c r="N92" s="112">
        <v>34531.300000000003</v>
      </c>
      <c r="O92" s="111"/>
      <c r="P92" s="112">
        <v>368364.47</v>
      </c>
      <c r="Q92" s="113">
        <f t="shared" ref="Q92:Q102" si="6">IF(P$57=0,0,P92/P$57)</f>
        <v>0.12494080595827319</v>
      </c>
      <c r="R92" s="114"/>
      <c r="S92" s="115"/>
      <c r="T92" s="105"/>
    </row>
    <row r="93" spans="1:20" outlineLevel="1">
      <c r="A93" s="105"/>
      <c r="B93" s="106" t="s">
        <v>308</v>
      </c>
      <c r="C93" s="105"/>
      <c r="D93" s="107">
        <v>50025</v>
      </c>
      <c r="E93" s="107" t="s">
        <v>346</v>
      </c>
      <c r="F93" s="108"/>
      <c r="G93" s="109"/>
      <c r="H93" s="110"/>
      <c r="I93" s="111"/>
      <c r="J93" s="112">
        <v>3040.94</v>
      </c>
      <c r="K93" s="111"/>
      <c r="L93" s="112">
        <v>1845.05</v>
      </c>
      <c r="M93" s="111"/>
      <c r="N93" s="112">
        <v>2962.97</v>
      </c>
      <c r="O93" s="111"/>
      <c r="P93" s="112">
        <v>26634.44</v>
      </c>
      <c r="Q93" s="113">
        <f t="shared" si="6"/>
        <v>9.0337930795748832E-3</v>
      </c>
      <c r="R93" s="114"/>
      <c r="S93" s="115"/>
      <c r="T93" s="105"/>
    </row>
    <row r="94" spans="1:20" outlineLevel="1">
      <c r="A94" s="105"/>
      <c r="B94" s="106" t="s">
        <v>308</v>
      </c>
      <c r="C94" s="105"/>
      <c r="D94" s="107">
        <v>50035</v>
      </c>
      <c r="E94" s="107" t="s">
        <v>347</v>
      </c>
      <c r="F94" s="108"/>
      <c r="G94" s="109"/>
      <c r="H94" s="110"/>
      <c r="I94" s="111"/>
      <c r="J94" s="112">
        <v>1052</v>
      </c>
      <c r="K94" s="111"/>
      <c r="L94" s="112">
        <v>1401</v>
      </c>
      <c r="M94" s="111"/>
      <c r="N94" s="112">
        <v>2054</v>
      </c>
      <c r="O94" s="111"/>
      <c r="P94" s="112">
        <v>16921</v>
      </c>
      <c r="Q94" s="113">
        <f t="shared" si="6"/>
        <v>5.7392163191524433E-3</v>
      </c>
      <c r="R94" s="114"/>
      <c r="S94" s="115"/>
      <c r="T94" s="105"/>
    </row>
    <row r="95" spans="1:20" outlineLevel="1">
      <c r="A95" s="105"/>
      <c r="B95" s="106" t="s">
        <v>308</v>
      </c>
      <c r="C95" s="105"/>
      <c r="D95" s="107">
        <v>50050</v>
      </c>
      <c r="E95" s="107" t="s">
        <v>348</v>
      </c>
      <c r="F95" s="108"/>
      <c r="G95" s="109"/>
      <c r="H95" s="110"/>
      <c r="I95" s="111"/>
      <c r="J95" s="112">
        <v>3024.15</v>
      </c>
      <c r="K95" s="111"/>
      <c r="L95" s="112">
        <v>2690.05</v>
      </c>
      <c r="M95" s="111"/>
      <c r="N95" s="112">
        <v>3409.76</v>
      </c>
      <c r="O95" s="111"/>
      <c r="P95" s="112">
        <v>34147.379999999997</v>
      </c>
      <c r="Q95" s="113">
        <f t="shared" si="6"/>
        <v>1.1582010552112745E-2</v>
      </c>
      <c r="R95" s="114"/>
      <c r="S95" s="115"/>
      <c r="T95" s="105"/>
    </row>
    <row r="96" spans="1:20" outlineLevel="1">
      <c r="A96" s="105"/>
      <c r="B96" s="106" t="s">
        <v>308</v>
      </c>
      <c r="C96" s="105"/>
      <c r="D96" s="107">
        <v>50060</v>
      </c>
      <c r="E96" s="107" t="s">
        <v>349</v>
      </c>
      <c r="F96" s="108"/>
      <c r="G96" s="109"/>
      <c r="H96" s="110"/>
      <c r="I96" s="111"/>
      <c r="J96" s="112">
        <v>6971.1</v>
      </c>
      <c r="K96" s="111"/>
      <c r="L96" s="112">
        <v>7971.1</v>
      </c>
      <c r="M96" s="111"/>
      <c r="N96" s="112">
        <v>7032.34</v>
      </c>
      <c r="O96" s="111"/>
      <c r="P96" s="112">
        <v>84207.64</v>
      </c>
      <c r="Q96" s="113">
        <f t="shared" si="6"/>
        <v>2.8561306168980206E-2</v>
      </c>
      <c r="R96" s="114"/>
      <c r="S96" s="115"/>
      <c r="T96" s="105"/>
    </row>
    <row r="97" spans="1:20" outlineLevel="1">
      <c r="A97" s="105"/>
      <c r="B97" s="106" t="s">
        <v>308</v>
      </c>
      <c r="C97" s="105"/>
      <c r="D97" s="107">
        <v>50065</v>
      </c>
      <c r="E97" s="107" t="s">
        <v>350</v>
      </c>
      <c r="F97" s="108"/>
      <c r="G97" s="109"/>
      <c r="H97" s="110"/>
      <c r="I97" s="111"/>
      <c r="J97" s="112">
        <v>1780.97</v>
      </c>
      <c r="K97" s="111"/>
      <c r="L97" s="112">
        <v>1680.65</v>
      </c>
      <c r="M97" s="111"/>
      <c r="N97" s="112">
        <v>1580.78</v>
      </c>
      <c r="O97" s="111"/>
      <c r="P97" s="112">
        <v>20818.740000000002</v>
      </c>
      <c r="Q97" s="113">
        <f t="shared" si="6"/>
        <v>7.0612406094315797E-3</v>
      </c>
      <c r="R97" s="114"/>
      <c r="S97" s="115"/>
      <c r="T97" s="105"/>
    </row>
    <row r="98" spans="1:20" outlineLevel="1">
      <c r="A98" s="105"/>
      <c r="B98" s="106" t="s">
        <v>308</v>
      </c>
      <c r="C98" s="105"/>
      <c r="D98" s="107">
        <v>50070</v>
      </c>
      <c r="E98" s="107" t="s">
        <v>351</v>
      </c>
      <c r="F98" s="108"/>
      <c r="G98" s="109"/>
      <c r="H98" s="110"/>
      <c r="I98" s="111"/>
      <c r="J98" s="112">
        <v>585</v>
      </c>
      <c r="K98" s="111"/>
      <c r="L98" s="112">
        <v>209.8</v>
      </c>
      <c r="M98" s="111"/>
      <c r="N98" s="112">
        <v>412.9</v>
      </c>
      <c r="O98" s="111"/>
      <c r="P98" s="112">
        <v>4961.8</v>
      </c>
      <c r="Q98" s="113">
        <f t="shared" si="6"/>
        <v>1.6829291136676672E-3</v>
      </c>
      <c r="R98" s="114"/>
      <c r="S98" s="115"/>
      <c r="T98" s="105"/>
    </row>
    <row r="99" spans="1:20" outlineLevel="1">
      <c r="A99" s="105"/>
      <c r="B99" s="106" t="s">
        <v>308</v>
      </c>
      <c r="C99" s="105"/>
      <c r="D99" s="107">
        <v>50086</v>
      </c>
      <c r="E99" s="107" t="s">
        <v>352</v>
      </c>
      <c r="F99" s="108"/>
      <c r="G99" s="109"/>
      <c r="H99" s="110"/>
      <c r="I99" s="111"/>
      <c r="J99" s="112">
        <v>511.56</v>
      </c>
      <c r="K99" s="111"/>
      <c r="L99" s="112">
        <v>171.9</v>
      </c>
      <c r="M99" s="111"/>
      <c r="N99" s="112">
        <v>54.05</v>
      </c>
      <c r="O99" s="111"/>
      <c r="P99" s="112">
        <v>3931.54</v>
      </c>
      <c r="Q99" s="113">
        <f t="shared" si="6"/>
        <v>1.3334884774777258E-3</v>
      </c>
      <c r="R99" s="114"/>
      <c r="S99" s="115"/>
      <c r="T99" s="105"/>
    </row>
    <row r="100" spans="1:20" outlineLevel="1">
      <c r="A100" s="105"/>
      <c r="B100" s="106" t="s">
        <v>308</v>
      </c>
      <c r="C100" s="105"/>
      <c r="D100" s="107">
        <v>50090</v>
      </c>
      <c r="E100" s="107" t="s">
        <v>353</v>
      </c>
      <c r="F100" s="108"/>
      <c r="G100" s="109"/>
      <c r="H100" s="110"/>
      <c r="I100" s="111"/>
      <c r="J100" s="112">
        <v>1523.06</v>
      </c>
      <c r="K100" s="111"/>
      <c r="L100" s="112">
        <v>635.6</v>
      </c>
      <c r="M100" s="111"/>
      <c r="N100" s="112">
        <v>1502.43</v>
      </c>
      <c r="O100" s="111"/>
      <c r="P100" s="112">
        <v>4753.51</v>
      </c>
      <c r="Q100" s="113">
        <f t="shared" si="6"/>
        <v>1.6122819079991922E-3</v>
      </c>
      <c r="R100" s="114"/>
      <c r="S100" s="115"/>
      <c r="T100" s="105"/>
    </row>
    <row r="101" spans="1:20" outlineLevel="1">
      <c r="A101" s="105"/>
      <c r="B101" s="106" t="s">
        <v>308</v>
      </c>
      <c r="C101" s="105"/>
      <c r="D101" s="107">
        <v>50115</v>
      </c>
      <c r="E101" s="107" t="s">
        <v>354</v>
      </c>
      <c r="F101" s="108"/>
      <c r="G101" s="109"/>
      <c r="H101" s="110"/>
      <c r="I101" s="111"/>
      <c r="J101" s="112">
        <v>483.17</v>
      </c>
      <c r="K101" s="111"/>
      <c r="L101" s="112">
        <v>446.72</v>
      </c>
      <c r="M101" s="111"/>
      <c r="N101" s="112">
        <v>649.71</v>
      </c>
      <c r="O101" s="111"/>
      <c r="P101" s="112">
        <v>6122.99</v>
      </c>
      <c r="Q101" s="113">
        <f t="shared" si="6"/>
        <v>2.0767782122810248E-3</v>
      </c>
      <c r="R101" s="114"/>
      <c r="S101" s="115"/>
      <c r="T101" s="105"/>
    </row>
    <row r="102" spans="1:20" outlineLevel="1">
      <c r="A102" s="105"/>
      <c r="B102" s="106" t="s">
        <v>308</v>
      </c>
      <c r="C102" s="105"/>
      <c r="D102" s="107">
        <v>50335</v>
      </c>
      <c r="E102" s="107" t="s">
        <v>418</v>
      </c>
      <c r="F102" s="108"/>
      <c r="G102" s="109"/>
      <c r="H102" s="110"/>
      <c r="I102" s="111"/>
      <c r="J102" s="112">
        <v>0</v>
      </c>
      <c r="K102" s="111"/>
      <c r="L102" s="112">
        <v>0</v>
      </c>
      <c r="M102" s="111"/>
      <c r="N102" s="112">
        <v>0</v>
      </c>
      <c r="O102" s="111"/>
      <c r="P102" s="112">
        <v>0</v>
      </c>
      <c r="Q102" s="113">
        <f t="shared" si="6"/>
        <v>0</v>
      </c>
      <c r="R102" s="114"/>
      <c r="S102" s="115"/>
      <c r="T102" s="105"/>
    </row>
    <row r="103" spans="1:20" s="65" customFormat="1" ht="5.0999999999999996" customHeight="1" outlineLevel="1">
      <c r="A103" s="140"/>
      <c r="B103" s="138" t="s">
        <v>301</v>
      </c>
      <c r="C103" s="110"/>
      <c r="D103" s="108"/>
      <c r="E103" s="108"/>
      <c r="F103" s="108"/>
      <c r="G103" s="108"/>
      <c r="H103" s="110"/>
      <c r="I103" s="110"/>
      <c r="J103" s="143"/>
      <c r="K103" s="142"/>
      <c r="L103" s="143"/>
      <c r="M103" s="142"/>
      <c r="N103" s="143"/>
      <c r="O103" s="142"/>
      <c r="P103" s="143"/>
      <c r="Q103" s="137"/>
      <c r="R103" s="120"/>
      <c r="S103" s="120"/>
      <c r="T103" s="110"/>
    </row>
    <row r="104" spans="1:20" s="65" customFormat="1">
      <c r="A104" s="140" t="s">
        <v>344</v>
      </c>
      <c r="B104" s="138" t="s">
        <v>301</v>
      </c>
      <c r="C104" s="110"/>
      <c r="D104" s="110"/>
      <c r="E104" s="110"/>
      <c r="F104" s="108" t="s">
        <v>355</v>
      </c>
      <c r="G104" s="110"/>
      <c r="H104" s="110"/>
      <c r="I104" s="110"/>
      <c r="J104" s="141">
        <f>SUM(J91:J103)</f>
        <v>51070.09</v>
      </c>
      <c r="K104" s="142"/>
      <c r="L104" s="141">
        <f>SUM(L91:L103)</f>
        <v>46425.090000000004</v>
      </c>
      <c r="M104" s="142"/>
      <c r="N104" s="141">
        <f>SUM(N91:N103)</f>
        <v>54190.240000000013</v>
      </c>
      <c r="O104" s="142"/>
      <c r="P104" s="141">
        <f>SUM(P91:P103)</f>
        <v>570863.51</v>
      </c>
      <c r="Q104" s="113">
        <f>IF(P$57=0,0,P104/P$57)</f>
        <v>0.19362385039895066</v>
      </c>
      <c r="R104" s="120"/>
      <c r="S104" s="120"/>
      <c r="T104" s="110"/>
    </row>
    <row r="105" spans="1:20" s="65" customFormat="1" outlineLevel="1">
      <c r="A105" s="138" t="s">
        <v>301</v>
      </c>
      <c r="B105" s="147"/>
      <c r="C105" s="110"/>
      <c r="D105" s="110"/>
      <c r="E105" s="110"/>
      <c r="F105" s="110"/>
      <c r="G105" s="110"/>
      <c r="H105" s="110"/>
      <c r="I105" s="110"/>
      <c r="J105" s="142"/>
      <c r="K105" s="142"/>
      <c r="L105" s="142"/>
      <c r="M105" s="142"/>
      <c r="N105" s="142"/>
      <c r="O105" s="142"/>
      <c r="P105" s="142"/>
      <c r="Q105" s="137"/>
      <c r="R105" s="120"/>
      <c r="S105" s="120"/>
      <c r="T105" s="110"/>
    </row>
    <row r="106" spans="1:20" outlineLevel="1">
      <c r="A106" s="105"/>
      <c r="B106" s="106" t="s">
        <v>356</v>
      </c>
      <c r="C106" s="105"/>
      <c r="D106" s="107">
        <v>51295</v>
      </c>
      <c r="E106" s="107" t="s">
        <v>357</v>
      </c>
      <c r="F106" s="108"/>
      <c r="G106" s="109"/>
      <c r="H106" s="110"/>
      <c r="I106" s="111"/>
      <c r="J106" s="112">
        <v>1893.93</v>
      </c>
      <c r="K106" s="111"/>
      <c r="L106" s="112">
        <v>127.14</v>
      </c>
      <c r="M106" s="111"/>
      <c r="N106" s="112">
        <v>160.19</v>
      </c>
      <c r="O106" s="111"/>
      <c r="P106" s="112">
        <v>6991.37</v>
      </c>
      <c r="Q106" s="113">
        <f>IF(P$57=0,0,P106/P$57)</f>
        <v>2.3713128536867099E-3</v>
      </c>
      <c r="R106" s="114"/>
      <c r="S106" s="115"/>
      <c r="T106" s="105"/>
    </row>
    <row r="107" spans="1:20" s="65" customFormat="1" ht="5.0999999999999996" customHeight="1" outlineLevel="1">
      <c r="A107" s="148"/>
      <c r="B107" s="140" t="s">
        <v>301</v>
      </c>
      <c r="C107" s="110"/>
      <c r="D107" s="108"/>
      <c r="E107" s="108"/>
      <c r="F107" s="108"/>
      <c r="G107" s="108"/>
      <c r="H107" s="110"/>
      <c r="I107" s="110"/>
      <c r="J107" s="143"/>
      <c r="K107" s="142"/>
      <c r="L107" s="143"/>
      <c r="M107" s="142"/>
      <c r="N107" s="143"/>
      <c r="O107" s="142"/>
      <c r="P107" s="143"/>
      <c r="Q107" s="137"/>
      <c r="R107" s="120"/>
      <c r="S107" s="120"/>
      <c r="T107" s="110"/>
    </row>
    <row r="108" spans="1:20" s="65" customFormat="1">
      <c r="A108" s="140" t="s">
        <v>356</v>
      </c>
      <c r="B108" s="140"/>
      <c r="C108" s="110"/>
      <c r="D108" s="110"/>
      <c r="E108" s="110"/>
      <c r="F108" s="108" t="s">
        <v>358</v>
      </c>
      <c r="G108" s="110"/>
      <c r="H108" s="110"/>
      <c r="I108" s="110"/>
      <c r="J108" s="141">
        <f>SUM(J106:J107)</f>
        <v>1893.93</v>
      </c>
      <c r="K108" s="142"/>
      <c r="L108" s="141">
        <f>SUM(L106:L107)</f>
        <v>127.14</v>
      </c>
      <c r="M108" s="142"/>
      <c r="N108" s="141">
        <f>SUM(N106:N107)</f>
        <v>160.19</v>
      </c>
      <c r="O108" s="142"/>
      <c r="P108" s="141">
        <f>SUM(P106:P107)</f>
        <v>6991.37</v>
      </c>
      <c r="Q108" s="113">
        <f>IF(P$57=0,0,P108/P$57)</f>
        <v>2.3713128536867099E-3</v>
      </c>
      <c r="R108" s="120"/>
      <c r="S108" s="120"/>
      <c r="T108" s="110"/>
    </row>
    <row r="109" spans="1:20" s="65" customFormat="1" outlineLevel="1">
      <c r="A109" s="140" t="s">
        <v>301</v>
      </c>
      <c r="B109" s="140"/>
      <c r="C109" s="110"/>
      <c r="D109" s="110"/>
      <c r="E109" s="110"/>
      <c r="F109" s="110"/>
      <c r="G109" s="110"/>
      <c r="H109" s="110"/>
      <c r="I109" s="110"/>
      <c r="J109" s="142"/>
      <c r="K109" s="142"/>
      <c r="L109" s="142"/>
      <c r="M109" s="142"/>
      <c r="N109" s="142"/>
      <c r="O109" s="142"/>
      <c r="P109" s="142"/>
      <c r="Q109" s="137"/>
      <c r="R109" s="120"/>
      <c r="S109" s="120"/>
      <c r="T109" s="110"/>
    </row>
    <row r="110" spans="1:20" s="65" customFormat="1" outlineLevel="1">
      <c r="A110" s="140"/>
      <c r="B110" s="140"/>
      <c r="C110" s="110"/>
      <c r="D110" s="110"/>
      <c r="E110" s="110"/>
      <c r="F110" s="110"/>
      <c r="G110" s="110"/>
      <c r="H110" s="110"/>
      <c r="I110" s="110"/>
      <c r="J110" s="142"/>
      <c r="K110" s="142"/>
      <c r="L110" s="142"/>
      <c r="M110" s="142"/>
      <c r="N110" s="142"/>
      <c r="O110" s="142"/>
      <c r="P110" s="142"/>
      <c r="Q110" s="137"/>
      <c r="R110" s="120"/>
      <c r="S110" s="120"/>
      <c r="T110" s="110"/>
    </row>
    <row r="111" spans="1:20" outlineLevel="1">
      <c r="A111" s="105"/>
      <c r="B111" s="106" t="s">
        <v>359</v>
      </c>
      <c r="C111" s="105"/>
      <c r="D111" s="107">
        <v>52010</v>
      </c>
      <c r="E111" s="107" t="s">
        <v>360</v>
      </c>
      <c r="F111" s="108"/>
      <c r="G111" s="109"/>
      <c r="H111" s="110"/>
      <c r="I111" s="111"/>
      <c r="J111" s="112">
        <v>0</v>
      </c>
      <c r="K111" s="111"/>
      <c r="L111" s="112">
        <v>1628.46</v>
      </c>
      <c r="M111" s="111"/>
      <c r="N111" s="112">
        <v>4023.3</v>
      </c>
      <c r="O111" s="111"/>
      <c r="P111" s="112">
        <v>5651.76</v>
      </c>
      <c r="Q111" s="113">
        <f t="shared" ref="Q111:Q135" si="7">IF(P$57=0,0,P111/P$57)</f>
        <v>1.9169477704587799E-3</v>
      </c>
      <c r="R111" s="114"/>
      <c r="S111" s="115"/>
      <c r="T111" s="105"/>
    </row>
    <row r="112" spans="1:20" outlineLevel="1">
      <c r="A112" s="105"/>
      <c r="B112" s="106" t="s">
        <v>308</v>
      </c>
      <c r="C112" s="105"/>
      <c r="D112" s="107">
        <v>52020</v>
      </c>
      <c r="E112" s="107" t="s">
        <v>345</v>
      </c>
      <c r="F112" s="108"/>
      <c r="G112" s="109"/>
      <c r="H112" s="110"/>
      <c r="I112" s="111"/>
      <c r="J112" s="112">
        <v>6397.91</v>
      </c>
      <c r="K112" s="111"/>
      <c r="L112" s="112">
        <v>4573.29</v>
      </c>
      <c r="M112" s="111"/>
      <c r="N112" s="112">
        <v>3106.66</v>
      </c>
      <c r="O112" s="111"/>
      <c r="P112" s="112">
        <v>69254.73</v>
      </c>
      <c r="Q112" s="113">
        <f t="shared" si="7"/>
        <v>2.3489620979522268E-2</v>
      </c>
      <c r="R112" s="114"/>
      <c r="S112" s="115"/>
      <c r="T112" s="105"/>
    </row>
    <row r="113" spans="1:20" outlineLevel="1">
      <c r="A113" s="105"/>
      <c r="B113" s="106" t="s">
        <v>308</v>
      </c>
      <c r="C113" s="105"/>
      <c r="D113" s="107">
        <v>52025</v>
      </c>
      <c r="E113" s="107" t="s">
        <v>346</v>
      </c>
      <c r="F113" s="108"/>
      <c r="G113" s="109"/>
      <c r="H113" s="110"/>
      <c r="I113" s="111"/>
      <c r="J113" s="112">
        <v>462.54</v>
      </c>
      <c r="K113" s="111"/>
      <c r="L113" s="112">
        <v>149.56</v>
      </c>
      <c r="M113" s="111"/>
      <c r="N113" s="112">
        <v>-41.67</v>
      </c>
      <c r="O113" s="111"/>
      <c r="P113" s="112">
        <v>2337.15</v>
      </c>
      <c r="Q113" s="113">
        <f t="shared" si="7"/>
        <v>7.9270784352621798E-4</v>
      </c>
      <c r="R113" s="114"/>
      <c r="S113" s="115"/>
      <c r="T113" s="105"/>
    </row>
    <row r="114" spans="1:20" outlineLevel="1">
      <c r="A114" s="105"/>
      <c r="B114" s="106" t="s">
        <v>308</v>
      </c>
      <c r="C114" s="105"/>
      <c r="D114" s="107">
        <v>52035</v>
      </c>
      <c r="E114" s="107" t="s">
        <v>347</v>
      </c>
      <c r="F114" s="108"/>
      <c r="G114" s="109"/>
      <c r="H114" s="110"/>
      <c r="I114" s="111"/>
      <c r="J114" s="112">
        <v>0</v>
      </c>
      <c r="K114" s="111"/>
      <c r="L114" s="112">
        <v>0</v>
      </c>
      <c r="M114" s="111"/>
      <c r="N114" s="112">
        <v>0</v>
      </c>
      <c r="O114" s="111"/>
      <c r="P114" s="112">
        <v>0</v>
      </c>
      <c r="Q114" s="113">
        <f t="shared" si="7"/>
        <v>0</v>
      </c>
      <c r="R114" s="114"/>
      <c r="S114" s="115"/>
      <c r="T114" s="105"/>
    </row>
    <row r="115" spans="1:20" outlineLevel="1">
      <c r="A115" s="105"/>
      <c r="B115" s="106" t="s">
        <v>308</v>
      </c>
      <c r="C115" s="105"/>
      <c r="D115" s="107">
        <v>52050</v>
      </c>
      <c r="E115" s="107" t="s">
        <v>348</v>
      </c>
      <c r="F115" s="108"/>
      <c r="G115" s="109"/>
      <c r="H115" s="110"/>
      <c r="I115" s="111"/>
      <c r="J115" s="112">
        <v>563.97</v>
      </c>
      <c r="K115" s="111"/>
      <c r="L115" s="112">
        <v>554.37</v>
      </c>
      <c r="M115" s="111"/>
      <c r="N115" s="112">
        <v>645.37</v>
      </c>
      <c r="O115" s="111"/>
      <c r="P115" s="112">
        <v>6927.94</v>
      </c>
      <c r="Q115" s="113">
        <f t="shared" si="7"/>
        <v>2.3497988479468696E-3</v>
      </c>
      <c r="R115" s="114"/>
      <c r="S115" s="115"/>
      <c r="T115" s="105"/>
    </row>
    <row r="116" spans="1:20" outlineLevel="1">
      <c r="A116" s="105"/>
      <c r="B116" s="106" t="s">
        <v>308</v>
      </c>
      <c r="C116" s="105"/>
      <c r="D116" s="107">
        <v>52060</v>
      </c>
      <c r="E116" s="107" t="s">
        <v>349</v>
      </c>
      <c r="F116" s="108"/>
      <c r="G116" s="109"/>
      <c r="H116" s="110"/>
      <c r="I116" s="111"/>
      <c r="J116" s="112">
        <v>1697.24</v>
      </c>
      <c r="K116" s="111"/>
      <c r="L116" s="112">
        <v>1697.24</v>
      </c>
      <c r="M116" s="111"/>
      <c r="N116" s="112">
        <v>1545.86</v>
      </c>
      <c r="O116" s="111"/>
      <c r="P116" s="112">
        <v>21729.3</v>
      </c>
      <c r="Q116" s="113">
        <f t="shared" si="7"/>
        <v>7.3700817424359787E-3</v>
      </c>
      <c r="R116" s="114"/>
      <c r="S116" s="115"/>
      <c r="T116" s="105"/>
    </row>
    <row r="117" spans="1:20" outlineLevel="1">
      <c r="A117" s="105"/>
      <c r="B117" s="106" t="s">
        <v>308</v>
      </c>
      <c r="C117" s="105"/>
      <c r="D117" s="107">
        <v>52065</v>
      </c>
      <c r="E117" s="107" t="s">
        <v>350</v>
      </c>
      <c r="F117" s="108"/>
      <c r="G117" s="109"/>
      <c r="H117" s="110"/>
      <c r="I117" s="111"/>
      <c r="J117" s="112">
        <v>214.16</v>
      </c>
      <c r="K117" s="111"/>
      <c r="L117" s="112">
        <v>218.36</v>
      </c>
      <c r="M117" s="111"/>
      <c r="N117" s="112">
        <v>223.52</v>
      </c>
      <c r="O117" s="111"/>
      <c r="P117" s="112">
        <v>2388.9899999999998</v>
      </c>
      <c r="Q117" s="113">
        <f t="shared" si="7"/>
        <v>8.102907862592042E-4</v>
      </c>
      <c r="R117" s="114"/>
      <c r="S117" s="115"/>
      <c r="T117" s="105"/>
    </row>
    <row r="118" spans="1:20" outlineLevel="1">
      <c r="A118" s="105"/>
      <c r="B118" s="106" t="s">
        <v>308</v>
      </c>
      <c r="C118" s="105"/>
      <c r="D118" s="107">
        <v>52070</v>
      </c>
      <c r="E118" s="107" t="s">
        <v>351</v>
      </c>
      <c r="F118" s="108"/>
      <c r="G118" s="109"/>
      <c r="H118" s="110"/>
      <c r="I118" s="111"/>
      <c r="J118" s="112">
        <v>0</v>
      </c>
      <c r="K118" s="111"/>
      <c r="L118" s="112">
        <v>305.88</v>
      </c>
      <c r="M118" s="111"/>
      <c r="N118" s="112">
        <v>-72.95</v>
      </c>
      <c r="O118" s="111"/>
      <c r="P118" s="112">
        <v>1367.11</v>
      </c>
      <c r="Q118" s="113">
        <f t="shared" si="7"/>
        <v>4.6369245446938696E-4</v>
      </c>
      <c r="R118" s="114"/>
      <c r="S118" s="115"/>
      <c r="T118" s="105"/>
    </row>
    <row r="119" spans="1:20" outlineLevel="1">
      <c r="A119" s="105"/>
      <c r="B119" s="106" t="s">
        <v>308</v>
      </c>
      <c r="C119" s="105"/>
      <c r="D119" s="107">
        <v>52086</v>
      </c>
      <c r="E119" s="107" t="s">
        <v>352</v>
      </c>
      <c r="F119" s="108"/>
      <c r="G119" s="109"/>
      <c r="H119" s="110"/>
      <c r="I119" s="111"/>
      <c r="J119" s="112">
        <v>0</v>
      </c>
      <c r="K119" s="111"/>
      <c r="L119" s="112">
        <v>0</v>
      </c>
      <c r="M119" s="111"/>
      <c r="N119" s="112">
        <v>0</v>
      </c>
      <c r="O119" s="111"/>
      <c r="P119" s="112">
        <v>0</v>
      </c>
      <c r="Q119" s="113">
        <f t="shared" si="7"/>
        <v>0</v>
      </c>
      <c r="R119" s="114"/>
      <c r="S119" s="115"/>
      <c r="T119" s="105"/>
    </row>
    <row r="120" spans="1:20" outlineLevel="1">
      <c r="A120" s="105"/>
      <c r="B120" s="106" t="s">
        <v>308</v>
      </c>
      <c r="C120" s="105"/>
      <c r="D120" s="107">
        <v>52087</v>
      </c>
      <c r="E120" s="107" t="s">
        <v>361</v>
      </c>
      <c r="F120" s="108"/>
      <c r="G120" s="109"/>
      <c r="H120" s="110"/>
      <c r="I120" s="111"/>
      <c r="J120" s="112">
        <v>0</v>
      </c>
      <c r="K120" s="111"/>
      <c r="L120" s="112">
        <v>300</v>
      </c>
      <c r="M120" s="111"/>
      <c r="N120" s="112">
        <v>0</v>
      </c>
      <c r="O120" s="111"/>
      <c r="P120" s="112">
        <v>560</v>
      </c>
      <c r="Q120" s="113">
        <f t="shared" si="7"/>
        <v>1.8993919618966778E-4</v>
      </c>
      <c r="R120" s="114"/>
      <c r="S120" s="115"/>
      <c r="T120" s="105"/>
    </row>
    <row r="121" spans="1:20" outlineLevel="1">
      <c r="A121" s="105"/>
      <c r="B121" s="106" t="s">
        <v>308</v>
      </c>
      <c r="C121" s="105"/>
      <c r="D121" s="107">
        <v>52090</v>
      </c>
      <c r="E121" s="107" t="s">
        <v>353</v>
      </c>
      <c r="F121" s="108"/>
      <c r="G121" s="109"/>
      <c r="H121" s="110"/>
      <c r="I121" s="111"/>
      <c r="J121" s="112">
        <v>1512.05</v>
      </c>
      <c r="K121" s="111"/>
      <c r="L121" s="112">
        <v>234.52</v>
      </c>
      <c r="M121" s="111"/>
      <c r="N121" s="112">
        <v>564.5</v>
      </c>
      <c r="O121" s="111"/>
      <c r="P121" s="112">
        <v>4727.1000000000004</v>
      </c>
      <c r="Q121" s="113">
        <f t="shared" si="7"/>
        <v>1.6033242398360334E-3</v>
      </c>
      <c r="R121" s="114"/>
      <c r="S121" s="115"/>
      <c r="T121" s="105"/>
    </row>
    <row r="122" spans="1:20" outlineLevel="1">
      <c r="A122" s="105"/>
      <c r="B122" s="106" t="s">
        <v>308</v>
      </c>
      <c r="C122" s="105"/>
      <c r="D122" s="107">
        <v>52115</v>
      </c>
      <c r="E122" s="107" t="s">
        <v>354</v>
      </c>
      <c r="F122" s="108"/>
      <c r="G122" s="109"/>
      <c r="H122" s="110"/>
      <c r="I122" s="111"/>
      <c r="J122" s="112">
        <v>86.55</v>
      </c>
      <c r="K122" s="111"/>
      <c r="L122" s="112">
        <v>90.4</v>
      </c>
      <c r="M122" s="111"/>
      <c r="N122" s="112">
        <v>129.81</v>
      </c>
      <c r="O122" s="111"/>
      <c r="P122" s="112">
        <v>1130.2</v>
      </c>
      <c r="Q122" s="113">
        <f t="shared" si="7"/>
        <v>3.8333799916707593E-4</v>
      </c>
      <c r="R122" s="114"/>
      <c r="S122" s="115"/>
      <c r="T122" s="105"/>
    </row>
    <row r="123" spans="1:20" outlineLevel="1">
      <c r="A123" s="105"/>
      <c r="B123" s="106" t="s">
        <v>308</v>
      </c>
      <c r="C123" s="105"/>
      <c r="D123" s="107">
        <v>52120</v>
      </c>
      <c r="E123" s="107" t="s">
        <v>362</v>
      </c>
      <c r="F123" s="108"/>
      <c r="G123" s="109"/>
      <c r="H123" s="110"/>
      <c r="I123" s="111"/>
      <c r="J123" s="112">
        <v>5165.95</v>
      </c>
      <c r="K123" s="111"/>
      <c r="L123" s="112">
        <v>9082.2000000000007</v>
      </c>
      <c r="M123" s="111"/>
      <c r="N123" s="112">
        <v>9672.18</v>
      </c>
      <c r="O123" s="111"/>
      <c r="P123" s="112">
        <v>79846.149999999994</v>
      </c>
      <c r="Q123" s="113">
        <f t="shared" si="7"/>
        <v>2.70819884818565E-2</v>
      </c>
      <c r="R123" s="114"/>
      <c r="S123" s="115"/>
      <c r="T123" s="105"/>
    </row>
    <row r="124" spans="1:20" outlineLevel="1">
      <c r="A124" s="105"/>
      <c r="B124" s="106" t="s">
        <v>308</v>
      </c>
      <c r="C124" s="105"/>
      <c r="D124" s="107">
        <v>52125</v>
      </c>
      <c r="E124" s="107" t="s">
        <v>363</v>
      </c>
      <c r="F124" s="108"/>
      <c r="G124" s="109"/>
      <c r="H124" s="110"/>
      <c r="I124" s="111"/>
      <c r="J124" s="112">
        <v>413.03</v>
      </c>
      <c r="K124" s="111"/>
      <c r="L124" s="112">
        <v>238.84</v>
      </c>
      <c r="M124" s="111"/>
      <c r="N124" s="112">
        <v>345.94</v>
      </c>
      <c r="O124" s="111"/>
      <c r="P124" s="112">
        <v>4260.46</v>
      </c>
      <c r="Q124" s="113">
        <f t="shared" si="7"/>
        <v>1.4450506210682715E-3</v>
      </c>
      <c r="R124" s="114"/>
      <c r="S124" s="115"/>
      <c r="T124" s="105"/>
    </row>
    <row r="125" spans="1:20" outlineLevel="1">
      <c r="A125" s="105"/>
      <c r="B125" s="106" t="s">
        <v>308</v>
      </c>
      <c r="C125" s="105"/>
      <c r="D125" s="107">
        <v>52140</v>
      </c>
      <c r="E125" s="107" t="s">
        <v>364</v>
      </c>
      <c r="F125" s="108"/>
      <c r="G125" s="109"/>
      <c r="H125" s="110"/>
      <c r="I125" s="111"/>
      <c r="J125" s="112">
        <v>497.48</v>
      </c>
      <c r="K125" s="111"/>
      <c r="L125" s="112">
        <v>2898.26</v>
      </c>
      <c r="M125" s="111"/>
      <c r="N125" s="112">
        <v>4208.62</v>
      </c>
      <c r="O125" s="111"/>
      <c r="P125" s="112">
        <v>33736.42</v>
      </c>
      <c r="Q125" s="113">
        <f t="shared" si="7"/>
        <v>1.1442622316280413E-2</v>
      </c>
      <c r="R125" s="114"/>
      <c r="S125" s="115"/>
      <c r="T125" s="105"/>
    </row>
    <row r="126" spans="1:20" outlineLevel="1">
      <c r="A126" s="105"/>
      <c r="B126" s="106" t="s">
        <v>308</v>
      </c>
      <c r="C126" s="105"/>
      <c r="D126" s="107">
        <v>52142</v>
      </c>
      <c r="E126" s="107" t="s">
        <v>365</v>
      </c>
      <c r="F126" s="108"/>
      <c r="G126" s="109"/>
      <c r="H126" s="110"/>
      <c r="I126" s="111"/>
      <c r="J126" s="112">
        <v>12240.93</v>
      </c>
      <c r="K126" s="111"/>
      <c r="L126" s="112">
        <v>12280.53</v>
      </c>
      <c r="M126" s="111"/>
      <c r="N126" s="112">
        <v>11045.37</v>
      </c>
      <c r="O126" s="111"/>
      <c r="P126" s="112">
        <v>153471.18</v>
      </c>
      <c r="Q126" s="113">
        <f t="shared" si="7"/>
        <v>5.20539152990711E-2</v>
      </c>
      <c r="R126" s="114"/>
      <c r="S126" s="115"/>
      <c r="T126" s="105"/>
    </row>
    <row r="127" spans="1:20" outlineLevel="1">
      <c r="A127" s="105"/>
      <c r="B127" s="106" t="s">
        <v>308</v>
      </c>
      <c r="C127" s="105"/>
      <c r="D127" s="107">
        <v>52146</v>
      </c>
      <c r="E127" s="107" t="s">
        <v>366</v>
      </c>
      <c r="F127" s="108"/>
      <c r="G127" s="109"/>
      <c r="H127" s="110"/>
      <c r="I127" s="111"/>
      <c r="J127" s="112">
        <v>1316.87</v>
      </c>
      <c r="K127" s="111"/>
      <c r="L127" s="112">
        <v>363.56</v>
      </c>
      <c r="M127" s="111"/>
      <c r="N127" s="112">
        <v>522.88</v>
      </c>
      <c r="O127" s="111"/>
      <c r="P127" s="112">
        <v>8884.93</v>
      </c>
      <c r="Q127" s="113">
        <f t="shared" si="7"/>
        <v>3.0135651114311874E-3</v>
      </c>
      <c r="R127" s="114"/>
      <c r="S127" s="115"/>
      <c r="T127" s="105"/>
    </row>
    <row r="128" spans="1:20" outlineLevel="1">
      <c r="A128" s="105"/>
      <c r="B128" s="106" t="s">
        <v>308</v>
      </c>
      <c r="C128" s="105"/>
      <c r="D128" s="107">
        <v>52147</v>
      </c>
      <c r="E128" s="107" t="s">
        <v>367</v>
      </c>
      <c r="F128" s="108"/>
      <c r="G128" s="109"/>
      <c r="H128" s="110"/>
      <c r="I128" s="111"/>
      <c r="J128" s="112">
        <v>1067.76</v>
      </c>
      <c r="K128" s="111"/>
      <c r="L128" s="112">
        <v>3714.71</v>
      </c>
      <c r="M128" s="111"/>
      <c r="N128" s="112">
        <v>2361.75</v>
      </c>
      <c r="O128" s="111"/>
      <c r="P128" s="112">
        <v>21012.42</v>
      </c>
      <c r="Q128" s="113">
        <f t="shared" si="7"/>
        <v>7.1269324371423188E-3</v>
      </c>
      <c r="R128" s="114"/>
      <c r="S128" s="115"/>
      <c r="T128" s="105"/>
    </row>
    <row r="129" spans="1:20" outlineLevel="1">
      <c r="A129" s="105"/>
      <c r="B129" s="106" t="s">
        <v>308</v>
      </c>
      <c r="C129" s="105"/>
      <c r="D129" s="107">
        <v>52150</v>
      </c>
      <c r="E129" s="107" t="s">
        <v>368</v>
      </c>
      <c r="F129" s="108"/>
      <c r="G129" s="109"/>
      <c r="H129" s="110"/>
      <c r="I129" s="111"/>
      <c r="J129" s="112">
        <v>113.49</v>
      </c>
      <c r="K129" s="111"/>
      <c r="L129" s="112">
        <v>112.71</v>
      </c>
      <c r="M129" s="111"/>
      <c r="N129" s="112">
        <v>113.49</v>
      </c>
      <c r="O129" s="111"/>
      <c r="P129" s="112">
        <v>1478.76</v>
      </c>
      <c r="Q129" s="113">
        <f t="shared" si="7"/>
        <v>5.0156158170970198E-4</v>
      </c>
      <c r="R129" s="114"/>
      <c r="S129" s="115"/>
      <c r="T129" s="105"/>
    </row>
    <row r="130" spans="1:20" outlineLevel="1">
      <c r="A130" s="105"/>
      <c r="B130" s="106" t="s">
        <v>308</v>
      </c>
      <c r="C130" s="105"/>
      <c r="D130" s="107">
        <v>52165</v>
      </c>
      <c r="E130" s="107" t="s">
        <v>369</v>
      </c>
      <c r="F130" s="108"/>
      <c r="G130" s="109"/>
      <c r="H130" s="110"/>
      <c r="I130" s="111"/>
      <c r="J130" s="112">
        <v>-0.6</v>
      </c>
      <c r="K130" s="111"/>
      <c r="L130" s="112">
        <v>0</v>
      </c>
      <c r="M130" s="111"/>
      <c r="N130" s="112">
        <v>0</v>
      </c>
      <c r="O130" s="111"/>
      <c r="P130" s="112">
        <v>323.39999999999998</v>
      </c>
      <c r="Q130" s="113">
        <f t="shared" si="7"/>
        <v>1.0968988579953313E-4</v>
      </c>
      <c r="R130" s="114"/>
      <c r="S130" s="115"/>
      <c r="T130" s="105"/>
    </row>
    <row r="131" spans="1:20" outlineLevel="1">
      <c r="A131" s="105"/>
      <c r="B131" s="106" t="s">
        <v>308</v>
      </c>
      <c r="C131" s="105"/>
      <c r="D131" s="107">
        <v>52175</v>
      </c>
      <c r="E131" s="107" t="s">
        <v>404</v>
      </c>
      <c r="F131" s="108"/>
      <c r="G131" s="109"/>
      <c r="H131" s="110"/>
      <c r="I131" s="111"/>
      <c r="J131" s="112">
        <v>0</v>
      </c>
      <c r="K131" s="111"/>
      <c r="L131" s="112">
        <v>0</v>
      </c>
      <c r="M131" s="111"/>
      <c r="N131" s="112">
        <v>0</v>
      </c>
      <c r="O131" s="111"/>
      <c r="P131" s="112">
        <v>0</v>
      </c>
      <c r="Q131" s="113">
        <f t="shared" si="7"/>
        <v>0</v>
      </c>
      <c r="R131" s="114"/>
      <c r="S131" s="115"/>
      <c r="T131" s="105"/>
    </row>
    <row r="132" spans="1:20" outlineLevel="1">
      <c r="A132" s="105"/>
      <c r="B132" s="106" t="s">
        <v>308</v>
      </c>
      <c r="C132" s="105"/>
      <c r="D132" s="107">
        <v>52181</v>
      </c>
      <c r="E132" s="107" t="s">
        <v>536</v>
      </c>
      <c r="F132" s="108"/>
      <c r="G132" s="109"/>
      <c r="H132" s="110"/>
      <c r="I132" s="111"/>
      <c r="J132" s="112">
        <v>-28.76</v>
      </c>
      <c r="K132" s="111"/>
      <c r="L132" s="112">
        <v>0</v>
      </c>
      <c r="M132" s="111"/>
      <c r="N132" s="112">
        <v>0</v>
      </c>
      <c r="O132" s="111"/>
      <c r="P132" s="112">
        <v>3000</v>
      </c>
      <c r="Q132" s="113">
        <f t="shared" si="7"/>
        <v>1.0175314081589345E-3</v>
      </c>
      <c r="R132" s="114"/>
      <c r="S132" s="115"/>
      <c r="T132" s="105"/>
    </row>
    <row r="133" spans="1:20" outlineLevel="1">
      <c r="A133" s="105"/>
      <c r="B133" s="106" t="s">
        <v>308</v>
      </c>
      <c r="C133" s="105"/>
      <c r="D133" s="107">
        <v>52182</v>
      </c>
      <c r="E133" s="107" t="s">
        <v>370</v>
      </c>
      <c r="F133" s="108"/>
      <c r="G133" s="109"/>
      <c r="H133" s="110"/>
      <c r="I133" s="111"/>
      <c r="J133" s="112">
        <v>875.88</v>
      </c>
      <c r="K133" s="111"/>
      <c r="L133" s="112">
        <v>323.39999999999998</v>
      </c>
      <c r="M133" s="111"/>
      <c r="N133" s="112">
        <v>2619.17</v>
      </c>
      <c r="O133" s="111"/>
      <c r="P133" s="112">
        <v>6112.8</v>
      </c>
      <c r="Q133" s="113">
        <f t="shared" si="7"/>
        <v>2.0733219972646449E-3</v>
      </c>
      <c r="R133" s="114"/>
      <c r="S133" s="115"/>
      <c r="T133" s="105"/>
    </row>
    <row r="134" spans="1:20" outlineLevel="1">
      <c r="A134" s="105"/>
      <c r="B134" s="106" t="s">
        <v>308</v>
      </c>
      <c r="C134" s="105"/>
      <c r="D134" s="107">
        <v>52200</v>
      </c>
      <c r="E134" s="107" t="s">
        <v>553</v>
      </c>
      <c r="F134" s="108"/>
      <c r="G134" s="109"/>
      <c r="H134" s="110"/>
      <c r="I134" s="111"/>
      <c r="J134" s="112">
        <v>0</v>
      </c>
      <c r="K134" s="111"/>
      <c r="L134" s="112">
        <v>0</v>
      </c>
      <c r="M134" s="111"/>
      <c r="N134" s="112">
        <v>0</v>
      </c>
      <c r="O134" s="111"/>
      <c r="P134" s="112">
        <v>0</v>
      </c>
      <c r="Q134" s="113">
        <f t="shared" si="7"/>
        <v>0</v>
      </c>
      <c r="R134" s="114"/>
      <c r="S134" s="115"/>
      <c r="T134" s="105"/>
    </row>
    <row r="135" spans="1:20" outlineLevel="1">
      <c r="A135" s="105"/>
      <c r="B135" s="106" t="s">
        <v>308</v>
      </c>
      <c r="C135" s="105"/>
      <c r="D135" s="107">
        <v>52901</v>
      </c>
      <c r="E135" s="107" t="s">
        <v>537</v>
      </c>
      <c r="F135" s="108"/>
      <c r="G135" s="109"/>
      <c r="H135" s="110"/>
      <c r="I135" s="111"/>
      <c r="J135" s="112">
        <v>0</v>
      </c>
      <c r="K135" s="111"/>
      <c r="L135" s="112">
        <v>0</v>
      </c>
      <c r="M135" s="111"/>
      <c r="N135" s="112">
        <v>0</v>
      </c>
      <c r="O135" s="111"/>
      <c r="P135" s="112">
        <v>0</v>
      </c>
      <c r="Q135" s="113">
        <f t="shared" si="7"/>
        <v>0</v>
      </c>
      <c r="R135" s="114"/>
      <c r="S135" s="115"/>
      <c r="T135" s="105"/>
    </row>
    <row r="136" spans="1:20" s="65" customFormat="1" ht="5.0999999999999996" customHeight="1" outlineLevel="1">
      <c r="A136" s="140"/>
      <c r="B136" s="140" t="s">
        <v>301</v>
      </c>
      <c r="C136" s="110"/>
      <c r="D136" s="108"/>
      <c r="E136" s="108"/>
      <c r="F136" s="108"/>
      <c r="G136" s="108"/>
      <c r="H136" s="110"/>
      <c r="I136" s="110"/>
      <c r="J136" s="143"/>
      <c r="K136" s="142"/>
      <c r="L136" s="143"/>
      <c r="M136" s="142"/>
      <c r="N136" s="143"/>
      <c r="O136" s="142"/>
      <c r="P136" s="143"/>
      <c r="Q136" s="137"/>
      <c r="R136" s="120"/>
      <c r="S136" s="120"/>
      <c r="T136" s="110"/>
    </row>
    <row r="137" spans="1:20" s="65" customFormat="1">
      <c r="A137" s="140" t="s">
        <v>359</v>
      </c>
      <c r="B137" s="140" t="s">
        <v>301</v>
      </c>
      <c r="C137" s="110"/>
      <c r="D137" s="110"/>
      <c r="E137" s="110"/>
      <c r="F137" s="108" t="s">
        <v>371</v>
      </c>
      <c r="G137" s="110"/>
      <c r="H137" s="110"/>
      <c r="I137" s="110"/>
      <c r="J137" s="141">
        <f>SUM(J110:J136)</f>
        <v>32596.45</v>
      </c>
      <c r="K137" s="142"/>
      <c r="L137" s="141">
        <f>SUM(L110:L136)</f>
        <v>38766.289999999994</v>
      </c>
      <c r="M137" s="142"/>
      <c r="N137" s="141">
        <f>SUM(N110:N136)</f>
        <v>41013.799999999996</v>
      </c>
      <c r="O137" s="142"/>
      <c r="P137" s="141">
        <f>SUM(P110:P136)</f>
        <v>428200.8</v>
      </c>
      <c r="Q137" s="113">
        <f>IF(P$57=0,0,P137/P$57)</f>
        <v>0.14523592099959409</v>
      </c>
      <c r="R137" s="120"/>
      <c r="S137" s="120"/>
      <c r="T137" s="110"/>
    </row>
    <row r="138" spans="1:20" s="65" customFormat="1" outlineLevel="1">
      <c r="A138" s="140" t="s">
        <v>301</v>
      </c>
      <c r="B138" s="140" t="s">
        <v>301</v>
      </c>
      <c r="C138" s="110"/>
      <c r="D138" s="110"/>
      <c r="E138" s="110"/>
      <c r="F138" s="110"/>
      <c r="G138" s="110"/>
      <c r="H138" s="110"/>
      <c r="I138" s="110"/>
      <c r="J138" s="142"/>
      <c r="K138" s="142"/>
      <c r="L138" s="142"/>
      <c r="M138" s="142"/>
      <c r="N138" s="142"/>
      <c r="O138" s="142"/>
      <c r="P138" s="142"/>
      <c r="Q138" s="137"/>
      <c r="R138" s="120"/>
      <c r="S138" s="120"/>
      <c r="T138" s="110"/>
    </row>
    <row r="139" spans="1:20" s="65" customFormat="1" outlineLevel="1">
      <c r="A139" s="140" t="s">
        <v>301</v>
      </c>
      <c r="B139" s="147"/>
      <c r="C139" s="110"/>
      <c r="D139" s="110"/>
      <c r="E139" s="110"/>
      <c r="F139" s="110"/>
      <c r="G139" s="110"/>
      <c r="H139" s="110"/>
      <c r="I139" s="110"/>
      <c r="J139" s="142"/>
      <c r="K139" s="142"/>
      <c r="L139" s="142"/>
      <c r="M139" s="142"/>
      <c r="N139" s="142"/>
      <c r="O139" s="142"/>
      <c r="P139" s="142"/>
      <c r="Q139" s="137"/>
      <c r="R139" s="120"/>
      <c r="S139" s="120"/>
      <c r="T139" s="110"/>
    </row>
    <row r="140" spans="1:20" outlineLevel="1">
      <c r="A140" s="105"/>
      <c r="B140" s="106" t="s">
        <v>372</v>
      </c>
      <c r="C140" s="105"/>
      <c r="D140" s="107">
        <v>55120</v>
      </c>
      <c r="E140" s="107" t="s">
        <v>362</v>
      </c>
      <c r="F140" s="108"/>
      <c r="G140" s="109"/>
      <c r="H140" s="110"/>
      <c r="I140" s="111"/>
      <c r="J140" s="112">
        <v>47.12</v>
      </c>
      <c r="K140" s="111"/>
      <c r="L140" s="112">
        <v>1810.04</v>
      </c>
      <c r="M140" s="111"/>
      <c r="N140" s="112">
        <v>18265.669999999998</v>
      </c>
      <c r="O140" s="111"/>
      <c r="P140" s="112">
        <v>37754.35</v>
      </c>
      <c r="Q140" s="113">
        <f t="shared" ref="Q140:Q143" si="8">IF(P$57=0,0,P140/P$57)</f>
        <v>1.2805412306541756E-2</v>
      </c>
      <c r="R140" s="114"/>
      <c r="S140" s="115"/>
      <c r="T140" s="105"/>
    </row>
    <row r="141" spans="1:20" outlineLevel="1">
      <c r="A141" s="105"/>
      <c r="B141" s="106" t="s">
        <v>308</v>
      </c>
      <c r="C141" s="105"/>
      <c r="D141" s="107">
        <v>55125</v>
      </c>
      <c r="E141" s="107" t="s">
        <v>363</v>
      </c>
      <c r="F141" s="108"/>
      <c r="G141" s="109"/>
      <c r="H141" s="110"/>
      <c r="I141" s="111"/>
      <c r="J141" s="112">
        <v>457.55</v>
      </c>
      <c r="K141" s="111"/>
      <c r="L141" s="112">
        <v>147.41</v>
      </c>
      <c r="M141" s="111"/>
      <c r="N141" s="112">
        <v>18.829999999999998</v>
      </c>
      <c r="O141" s="111"/>
      <c r="P141" s="112">
        <v>3486.85</v>
      </c>
      <c r="Q141" s="113">
        <f t="shared" si="8"/>
        <v>1.182659796846327E-3</v>
      </c>
      <c r="R141" s="114"/>
      <c r="S141" s="115"/>
      <c r="T141" s="105"/>
    </row>
    <row r="142" spans="1:20" outlineLevel="1">
      <c r="A142" s="105"/>
      <c r="B142" s="106" t="s">
        <v>308</v>
      </c>
      <c r="C142" s="105"/>
      <c r="D142" s="107">
        <v>55142</v>
      </c>
      <c r="E142" s="107" t="s">
        <v>365</v>
      </c>
      <c r="F142" s="108"/>
      <c r="G142" s="109"/>
      <c r="H142" s="110"/>
      <c r="I142" s="111"/>
      <c r="J142" s="112">
        <v>0</v>
      </c>
      <c r="K142" s="111"/>
      <c r="L142" s="112">
        <v>0</v>
      </c>
      <c r="M142" s="111"/>
      <c r="N142" s="112">
        <v>0</v>
      </c>
      <c r="O142" s="111"/>
      <c r="P142" s="112">
        <v>0</v>
      </c>
      <c r="Q142" s="113">
        <f t="shared" si="8"/>
        <v>0</v>
      </c>
      <c r="R142" s="114"/>
      <c r="S142" s="115"/>
      <c r="T142" s="105"/>
    </row>
    <row r="143" spans="1:20" outlineLevel="1">
      <c r="A143" s="105"/>
      <c r="B143" s="106" t="s">
        <v>308</v>
      </c>
      <c r="C143" s="105"/>
      <c r="D143" s="107">
        <v>55147</v>
      </c>
      <c r="E143" s="107" t="s">
        <v>367</v>
      </c>
      <c r="F143" s="108"/>
      <c r="G143" s="109"/>
      <c r="H143" s="110"/>
      <c r="I143" s="111"/>
      <c r="J143" s="112">
        <v>0</v>
      </c>
      <c r="K143" s="111"/>
      <c r="L143" s="112">
        <v>0</v>
      </c>
      <c r="M143" s="111"/>
      <c r="N143" s="112">
        <v>0</v>
      </c>
      <c r="O143" s="111"/>
      <c r="P143" s="112">
        <v>0</v>
      </c>
      <c r="Q143" s="113">
        <f t="shared" si="8"/>
        <v>0</v>
      </c>
      <c r="R143" s="114"/>
      <c r="S143" s="115"/>
      <c r="T143" s="105"/>
    </row>
    <row r="144" spans="1:20" s="65" customFormat="1" ht="5.0999999999999996" customHeight="1" outlineLevel="1">
      <c r="A144" s="148"/>
      <c r="B144" s="140" t="s">
        <v>301</v>
      </c>
      <c r="C144" s="110"/>
      <c r="D144" s="108"/>
      <c r="E144" s="108"/>
      <c r="F144" s="108"/>
      <c r="G144" s="108"/>
      <c r="H144" s="110"/>
      <c r="I144" s="110"/>
      <c r="J144" s="143"/>
      <c r="K144" s="142"/>
      <c r="L144" s="143"/>
      <c r="M144" s="142"/>
      <c r="N144" s="143"/>
      <c r="O144" s="142"/>
      <c r="P144" s="143"/>
      <c r="Q144" s="137"/>
      <c r="R144" s="120"/>
      <c r="S144" s="120"/>
      <c r="T144" s="110"/>
    </row>
    <row r="145" spans="1:20" s="65" customFormat="1">
      <c r="A145" s="140" t="s">
        <v>372</v>
      </c>
      <c r="B145" s="140"/>
      <c r="C145" s="110"/>
      <c r="D145" s="110"/>
      <c r="E145" s="110"/>
      <c r="F145" s="108" t="s">
        <v>374</v>
      </c>
      <c r="G145" s="110"/>
      <c r="H145" s="110"/>
      <c r="I145" s="110"/>
      <c r="J145" s="141">
        <f>SUM(J139:J144)</f>
        <v>504.67</v>
      </c>
      <c r="K145" s="142"/>
      <c r="L145" s="141">
        <f>SUM(L139:L144)</f>
        <v>1957.45</v>
      </c>
      <c r="M145" s="142"/>
      <c r="N145" s="141">
        <f>SUM(N139:N144)</f>
        <v>18284.5</v>
      </c>
      <c r="O145" s="142"/>
      <c r="P145" s="141">
        <f>SUM(P139:P144)</f>
        <v>41241.199999999997</v>
      </c>
      <c r="Q145" s="113">
        <f>IF(P$57=0,0,P145/P$57)</f>
        <v>1.3988072103388082E-2</v>
      </c>
      <c r="R145" s="120"/>
      <c r="S145" s="120"/>
      <c r="T145" s="110"/>
    </row>
    <row r="146" spans="1:20" s="65" customFormat="1" outlineLevel="1">
      <c r="A146" s="140" t="s">
        <v>301</v>
      </c>
      <c r="B146" s="140"/>
      <c r="C146" s="110"/>
      <c r="D146" s="110"/>
      <c r="E146" s="110"/>
      <c r="F146" s="110"/>
      <c r="G146" s="110"/>
      <c r="H146" s="110"/>
      <c r="I146" s="110"/>
      <c r="J146" s="142"/>
      <c r="K146" s="142"/>
      <c r="L146" s="142"/>
      <c r="M146" s="142"/>
      <c r="N146" s="142"/>
      <c r="O146" s="142"/>
      <c r="P146" s="142"/>
      <c r="Q146" s="137"/>
      <c r="R146" s="120"/>
      <c r="S146" s="120"/>
      <c r="T146" s="110"/>
    </row>
    <row r="147" spans="1:20" s="65" customFormat="1" outlineLevel="1">
      <c r="A147" s="140"/>
      <c r="B147" s="140" t="s">
        <v>301</v>
      </c>
      <c r="C147" s="110"/>
      <c r="D147" s="110"/>
      <c r="E147" s="110"/>
      <c r="F147" s="110"/>
      <c r="G147" s="110"/>
      <c r="H147" s="110"/>
      <c r="I147" s="110"/>
      <c r="J147" s="142"/>
      <c r="K147" s="142"/>
      <c r="L147" s="142"/>
      <c r="M147" s="142"/>
      <c r="N147" s="142"/>
      <c r="O147" s="142"/>
      <c r="P147" s="142"/>
      <c r="Q147" s="137"/>
      <c r="R147" s="120"/>
      <c r="S147" s="120"/>
      <c r="T147" s="110"/>
    </row>
    <row r="148" spans="1:20" outlineLevel="1">
      <c r="A148" s="105"/>
      <c r="B148" s="106" t="s">
        <v>375</v>
      </c>
      <c r="C148" s="105"/>
      <c r="D148" s="107">
        <v>56010</v>
      </c>
      <c r="E148" s="107" t="s">
        <v>360</v>
      </c>
      <c r="F148" s="108"/>
      <c r="G148" s="109"/>
      <c r="H148" s="110"/>
      <c r="I148" s="111"/>
      <c r="J148" s="112">
        <v>8939.17</v>
      </c>
      <c r="K148" s="111"/>
      <c r="L148" s="112">
        <v>8677.92</v>
      </c>
      <c r="M148" s="111"/>
      <c r="N148" s="112">
        <v>9267.7099999999991</v>
      </c>
      <c r="O148" s="111"/>
      <c r="P148" s="112">
        <v>104787.33</v>
      </c>
      <c r="Q148" s="113">
        <f t="shared" ref="Q148:Q157" si="9">IF(P$57=0,0,P148/P$57)</f>
        <v>3.5541466484038324E-2</v>
      </c>
      <c r="R148" s="114"/>
      <c r="S148" s="115"/>
      <c r="T148" s="105"/>
    </row>
    <row r="149" spans="1:20" outlineLevel="1">
      <c r="A149" s="105"/>
      <c r="B149" s="106" t="s">
        <v>308</v>
      </c>
      <c r="C149" s="105"/>
      <c r="D149" s="107">
        <v>56050</v>
      </c>
      <c r="E149" s="107" t="s">
        <v>348</v>
      </c>
      <c r="F149" s="108"/>
      <c r="G149" s="109"/>
      <c r="H149" s="110"/>
      <c r="I149" s="111"/>
      <c r="J149" s="112">
        <v>415.62</v>
      </c>
      <c r="K149" s="111"/>
      <c r="L149" s="112">
        <v>388.99</v>
      </c>
      <c r="M149" s="111"/>
      <c r="N149" s="112">
        <v>425.7</v>
      </c>
      <c r="O149" s="111"/>
      <c r="P149" s="112">
        <v>5126.68</v>
      </c>
      <c r="Q149" s="113">
        <f t="shared" si="9"/>
        <v>1.7388526398600822E-3</v>
      </c>
      <c r="R149" s="114"/>
      <c r="S149" s="115"/>
      <c r="T149" s="105"/>
    </row>
    <row r="150" spans="1:20" outlineLevel="1">
      <c r="A150" s="105"/>
      <c r="B150" s="106" t="s">
        <v>308</v>
      </c>
      <c r="C150" s="105"/>
      <c r="D150" s="107">
        <v>56060</v>
      </c>
      <c r="E150" s="107" t="s">
        <v>349</v>
      </c>
      <c r="F150" s="108"/>
      <c r="G150" s="109"/>
      <c r="H150" s="110"/>
      <c r="I150" s="111"/>
      <c r="J150" s="112">
        <v>705.54</v>
      </c>
      <c r="K150" s="111"/>
      <c r="L150" s="112">
        <v>705.54</v>
      </c>
      <c r="M150" s="111"/>
      <c r="N150" s="112">
        <v>558.30999999999995</v>
      </c>
      <c r="O150" s="111"/>
      <c r="P150" s="112">
        <v>8253.2000000000007</v>
      </c>
      <c r="Q150" s="113">
        <f t="shared" si="9"/>
        <v>2.7992967392724399E-3</v>
      </c>
      <c r="R150" s="114"/>
      <c r="S150" s="115"/>
      <c r="T150" s="105"/>
    </row>
    <row r="151" spans="1:20" outlineLevel="1">
      <c r="A151" s="105"/>
      <c r="B151" s="106" t="s">
        <v>308</v>
      </c>
      <c r="C151" s="105"/>
      <c r="D151" s="107">
        <v>56065</v>
      </c>
      <c r="E151" s="107" t="s">
        <v>350</v>
      </c>
      <c r="F151" s="108"/>
      <c r="G151" s="109"/>
      <c r="H151" s="110"/>
      <c r="I151" s="111"/>
      <c r="J151" s="112">
        <v>238.86</v>
      </c>
      <c r="K151" s="111"/>
      <c r="L151" s="112">
        <v>231.15</v>
      </c>
      <c r="M151" s="111"/>
      <c r="N151" s="112">
        <v>-2011.03</v>
      </c>
      <c r="O151" s="111"/>
      <c r="P151" s="112">
        <v>607.65</v>
      </c>
      <c r="Q151" s="113">
        <f t="shared" si="9"/>
        <v>2.0610098672259219E-4</v>
      </c>
      <c r="R151" s="114"/>
      <c r="S151" s="115"/>
      <c r="T151" s="105"/>
    </row>
    <row r="152" spans="1:20" outlineLevel="1">
      <c r="A152" s="105"/>
      <c r="B152" s="106" t="s">
        <v>308</v>
      </c>
      <c r="C152" s="105"/>
      <c r="D152" s="107">
        <v>56086</v>
      </c>
      <c r="E152" s="107" t="s">
        <v>352</v>
      </c>
      <c r="F152" s="108"/>
      <c r="G152" s="109"/>
      <c r="H152" s="110"/>
      <c r="I152" s="111"/>
      <c r="J152" s="112">
        <v>0</v>
      </c>
      <c r="K152" s="111"/>
      <c r="L152" s="112">
        <v>0</v>
      </c>
      <c r="M152" s="111"/>
      <c r="N152" s="112">
        <v>0</v>
      </c>
      <c r="O152" s="111"/>
      <c r="P152" s="112">
        <v>0</v>
      </c>
      <c r="Q152" s="113">
        <f t="shared" si="9"/>
        <v>0</v>
      </c>
      <c r="R152" s="114"/>
      <c r="S152" s="115"/>
      <c r="T152" s="105"/>
    </row>
    <row r="153" spans="1:20" outlineLevel="1">
      <c r="A153" s="105"/>
      <c r="B153" s="106" t="s">
        <v>308</v>
      </c>
      <c r="C153" s="105"/>
      <c r="D153" s="107">
        <v>56090</v>
      </c>
      <c r="E153" s="107" t="s">
        <v>353</v>
      </c>
      <c r="F153" s="108"/>
      <c r="G153" s="109"/>
      <c r="H153" s="110"/>
      <c r="I153" s="111"/>
      <c r="J153" s="112">
        <v>0</v>
      </c>
      <c r="K153" s="111"/>
      <c r="L153" s="112">
        <v>0</v>
      </c>
      <c r="M153" s="111"/>
      <c r="N153" s="112">
        <v>0</v>
      </c>
      <c r="O153" s="111"/>
      <c r="P153" s="112">
        <v>349.17</v>
      </c>
      <c r="Q153" s="113">
        <f t="shared" si="9"/>
        <v>1.184304805956184E-4</v>
      </c>
      <c r="R153" s="114"/>
      <c r="S153" s="115"/>
      <c r="T153" s="105"/>
    </row>
    <row r="154" spans="1:20" outlineLevel="1">
      <c r="A154" s="105"/>
      <c r="B154" s="106" t="s">
        <v>308</v>
      </c>
      <c r="C154" s="105"/>
      <c r="D154" s="107">
        <v>56115</v>
      </c>
      <c r="E154" s="107" t="s">
        <v>354</v>
      </c>
      <c r="F154" s="108"/>
      <c r="G154" s="109"/>
      <c r="H154" s="110"/>
      <c r="I154" s="111"/>
      <c r="J154" s="112">
        <v>156.76</v>
      </c>
      <c r="K154" s="111"/>
      <c r="L154" s="112">
        <v>156.76</v>
      </c>
      <c r="M154" s="111"/>
      <c r="N154" s="112">
        <v>235.14</v>
      </c>
      <c r="O154" s="111"/>
      <c r="P154" s="112">
        <v>1983.8</v>
      </c>
      <c r="Q154" s="113">
        <f t="shared" si="9"/>
        <v>6.7285960250189813E-4</v>
      </c>
      <c r="R154" s="114"/>
      <c r="S154" s="115"/>
      <c r="T154" s="105"/>
    </row>
    <row r="155" spans="1:20" outlineLevel="1">
      <c r="A155" s="105"/>
      <c r="B155" s="106" t="s">
        <v>308</v>
      </c>
      <c r="C155" s="105"/>
      <c r="D155" s="107">
        <v>56142</v>
      </c>
      <c r="E155" s="107" t="s">
        <v>365</v>
      </c>
      <c r="F155" s="108"/>
      <c r="G155" s="109"/>
      <c r="H155" s="110"/>
      <c r="I155" s="111"/>
      <c r="J155" s="112">
        <v>0</v>
      </c>
      <c r="K155" s="111"/>
      <c r="L155" s="112">
        <v>0</v>
      </c>
      <c r="M155" s="111"/>
      <c r="N155" s="112">
        <v>0</v>
      </c>
      <c r="O155" s="111"/>
      <c r="P155" s="112">
        <v>47.01</v>
      </c>
      <c r="Q155" s="113">
        <f t="shared" si="9"/>
        <v>1.5944717165850504E-5</v>
      </c>
      <c r="R155" s="114"/>
      <c r="S155" s="115"/>
      <c r="T155" s="105"/>
    </row>
    <row r="156" spans="1:20" outlineLevel="1">
      <c r="A156" s="105"/>
      <c r="B156" s="106" t="s">
        <v>308</v>
      </c>
      <c r="C156" s="105"/>
      <c r="D156" s="107">
        <v>56200</v>
      </c>
      <c r="E156" s="107" t="s">
        <v>407</v>
      </c>
      <c r="F156" s="108"/>
      <c r="G156" s="109"/>
      <c r="H156" s="110"/>
      <c r="I156" s="111"/>
      <c r="J156" s="112">
        <v>0</v>
      </c>
      <c r="K156" s="111"/>
      <c r="L156" s="112">
        <v>0</v>
      </c>
      <c r="M156" s="111"/>
      <c r="N156" s="112">
        <v>0</v>
      </c>
      <c r="O156" s="111"/>
      <c r="P156" s="112">
        <v>0</v>
      </c>
      <c r="Q156" s="113">
        <f t="shared" si="9"/>
        <v>0</v>
      </c>
      <c r="R156" s="114"/>
      <c r="S156" s="115"/>
      <c r="T156" s="105"/>
    </row>
    <row r="157" spans="1:20" outlineLevel="1">
      <c r="A157" s="105"/>
      <c r="B157" s="106" t="s">
        <v>308</v>
      </c>
      <c r="C157" s="105"/>
      <c r="D157" s="107">
        <v>56201</v>
      </c>
      <c r="E157" s="107" t="s">
        <v>538</v>
      </c>
      <c r="F157" s="108"/>
      <c r="G157" s="109"/>
      <c r="H157" s="110"/>
      <c r="I157" s="111"/>
      <c r="J157" s="112">
        <v>0</v>
      </c>
      <c r="K157" s="111"/>
      <c r="L157" s="112">
        <v>0</v>
      </c>
      <c r="M157" s="111"/>
      <c r="N157" s="112">
        <v>0</v>
      </c>
      <c r="O157" s="111"/>
      <c r="P157" s="112">
        <v>0</v>
      </c>
      <c r="Q157" s="113">
        <f t="shared" si="9"/>
        <v>0</v>
      </c>
      <c r="R157" s="114"/>
      <c r="S157" s="115"/>
      <c r="T157" s="105"/>
    </row>
    <row r="158" spans="1:20" s="65" customFormat="1" ht="5.0999999999999996" customHeight="1" outlineLevel="1">
      <c r="A158" s="140" t="s">
        <v>301</v>
      </c>
      <c r="B158" s="140" t="s">
        <v>301</v>
      </c>
      <c r="C158" s="110"/>
      <c r="D158" s="108"/>
      <c r="E158" s="108"/>
      <c r="F158" s="108"/>
      <c r="G158" s="108"/>
      <c r="H158" s="110"/>
      <c r="I158" s="110"/>
      <c r="J158" s="143"/>
      <c r="K158" s="142"/>
      <c r="L158" s="143"/>
      <c r="M158" s="142"/>
      <c r="N158" s="143"/>
      <c r="O158" s="142"/>
      <c r="P158" s="143"/>
      <c r="Q158" s="137"/>
      <c r="R158" s="120"/>
      <c r="S158" s="120"/>
      <c r="T158" s="110"/>
    </row>
    <row r="159" spans="1:20" s="65" customFormat="1">
      <c r="A159" s="140" t="s">
        <v>375</v>
      </c>
      <c r="B159" s="140" t="s">
        <v>301</v>
      </c>
      <c r="C159" s="110"/>
      <c r="D159" s="110"/>
      <c r="E159" s="110"/>
      <c r="F159" s="108" t="s">
        <v>376</v>
      </c>
      <c r="G159" s="110"/>
      <c r="H159" s="110"/>
      <c r="I159" s="110"/>
      <c r="J159" s="141">
        <f>SUM(J147:J158)</f>
        <v>10455.950000000003</v>
      </c>
      <c r="K159" s="142"/>
      <c r="L159" s="141">
        <f>SUM(L147:L158)</f>
        <v>10160.36</v>
      </c>
      <c r="M159" s="142"/>
      <c r="N159" s="141">
        <f>SUM(N147:N158)</f>
        <v>8475.8299999999981</v>
      </c>
      <c r="O159" s="142"/>
      <c r="P159" s="141">
        <f>SUM(P147:P158)</f>
        <v>121154.84</v>
      </c>
      <c r="Q159" s="113">
        <f>IF(P$57=0,0,P159/P$57)</f>
        <v>4.1092951650156799E-2</v>
      </c>
      <c r="R159" s="120"/>
      <c r="S159" s="120"/>
      <c r="T159" s="110"/>
    </row>
    <row r="160" spans="1:20" s="65" customFormat="1" outlineLevel="1">
      <c r="A160" s="140" t="s">
        <v>301</v>
      </c>
      <c r="B160" s="140"/>
      <c r="C160" s="110"/>
      <c r="D160" s="110"/>
      <c r="E160" s="110"/>
      <c r="F160" s="110"/>
      <c r="G160" s="110"/>
      <c r="H160" s="110"/>
      <c r="I160" s="110"/>
      <c r="J160" s="142"/>
      <c r="K160" s="142"/>
      <c r="L160" s="142"/>
      <c r="M160" s="142"/>
      <c r="N160" s="142"/>
      <c r="O160" s="142"/>
      <c r="P160" s="142"/>
      <c r="Q160" s="137"/>
      <c r="R160" s="120"/>
      <c r="S160" s="120"/>
      <c r="T160" s="110"/>
    </row>
    <row r="161" spans="1:20" s="65" customFormat="1" outlineLevel="1">
      <c r="A161" s="140" t="s">
        <v>301</v>
      </c>
      <c r="B161" s="140" t="s">
        <v>301</v>
      </c>
      <c r="C161" s="110"/>
      <c r="D161" s="110"/>
      <c r="E161" s="110"/>
      <c r="F161" s="110"/>
      <c r="G161" s="110"/>
      <c r="H161" s="110"/>
      <c r="I161" s="110"/>
      <c r="J161" s="142"/>
      <c r="K161" s="142"/>
      <c r="L161" s="142"/>
      <c r="M161" s="142"/>
      <c r="N161" s="142"/>
      <c r="O161" s="142"/>
      <c r="P161" s="142"/>
      <c r="Q161" s="137"/>
      <c r="R161" s="120"/>
      <c r="S161" s="120"/>
      <c r="T161" s="110"/>
    </row>
    <row r="162" spans="1:20" outlineLevel="1">
      <c r="A162" s="105"/>
      <c r="B162" s="106" t="s">
        <v>377</v>
      </c>
      <c r="C162" s="105"/>
      <c r="D162" s="107">
        <v>57125</v>
      </c>
      <c r="E162" s="107" t="s">
        <v>363</v>
      </c>
      <c r="F162" s="108"/>
      <c r="G162" s="109"/>
      <c r="H162" s="110"/>
      <c r="I162" s="111"/>
      <c r="J162" s="112">
        <v>0</v>
      </c>
      <c r="K162" s="111"/>
      <c r="L162" s="112">
        <v>0</v>
      </c>
      <c r="M162" s="111"/>
      <c r="N162" s="112">
        <v>0</v>
      </c>
      <c r="O162" s="111"/>
      <c r="P162" s="112">
        <v>0</v>
      </c>
      <c r="Q162" s="113">
        <f t="shared" ref="Q162:Q172" si="10">IF(P$57=0,0,P162/P$57)</f>
        <v>0</v>
      </c>
      <c r="R162" s="114"/>
      <c r="S162" s="115"/>
      <c r="T162" s="105"/>
    </row>
    <row r="163" spans="1:20" outlineLevel="1">
      <c r="A163" s="105"/>
      <c r="B163" s="106" t="s">
        <v>308</v>
      </c>
      <c r="C163" s="105"/>
      <c r="D163" s="107">
        <v>57147</v>
      </c>
      <c r="E163" s="107" t="s">
        <v>378</v>
      </c>
      <c r="F163" s="108"/>
      <c r="G163" s="109"/>
      <c r="H163" s="110"/>
      <c r="I163" s="111"/>
      <c r="J163" s="112">
        <v>100</v>
      </c>
      <c r="K163" s="111"/>
      <c r="L163" s="112">
        <v>155.55000000000001</v>
      </c>
      <c r="M163" s="111"/>
      <c r="N163" s="112">
        <v>9507.6299999999992</v>
      </c>
      <c r="O163" s="111"/>
      <c r="P163" s="112">
        <v>11152.79</v>
      </c>
      <c r="Q163" s="113">
        <f t="shared" si="10"/>
        <v>3.7827713712002948E-3</v>
      </c>
      <c r="R163" s="114"/>
      <c r="S163" s="115"/>
      <c r="T163" s="105"/>
    </row>
    <row r="164" spans="1:20" outlineLevel="1">
      <c r="A164" s="105"/>
      <c r="B164" s="106" t="s">
        <v>308</v>
      </c>
      <c r="C164" s="105"/>
      <c r="D164" s="107">
        <v>57170</v>
      </c>
      <c r="E164" s="107" t="s">
        <v>379</v>
      </c>
      <c r="F164" s="108"/>
      <c r="G164" s="109"/>
      <c r="H164" s="110"/>
      <c r="I164" s="111"/>
      <c r="J164" s="112">
        <v>475</v>
      </c>
      <c r="K164" s="111"/>
      <c r="L164" s="112">
        <v>475</v>
      </c>
      <c r="M164" s="111"/>
      <c r="N164" s="112">
        <v>475</v>
      </c>
      <c r="O164" s="111"/>
      <c r="P164" s="112">
        <v>6175</v>
      </c>
      <c r="Q164" s="113">
        <f t="shared" si="10"/>
        <v>2.0944188151271401E-3</v>
      </c>
      <c r="R164" s="114"/>
      <c r="S164" s="115"/>
      <c r="T164" s="105"/>
    </row>
    <row r="165" spans="1:20" outlineLevel="1">
      <c r="A165" s="105"/>
      <c r="B165" s="106" t="s">
        <v>308</v>
      </c>
      <c r="C165" s="105"/>
      <c r="D165" s="107">
        <v>57254</v>
      </c>
      <c r="E165" s="107" t="s">
        <v>539</v>
      </c>
      <c r="F165" s="108"/>
      <c r="G165" s="109"/>
      <c r="H165" s="110"/>
      <c r="I165" s="111"/>
      <c r="J165" s="112">
        <v>1167.47</v>
      </c>
      <c r="K165" s="111"/>
      <c r="L165" s="112">
        <v>1052.7</v>
      </c>
      <c r="M165" s="111"/>
      <c r="N165" s="112">
        <v>1160.8499999999999</v>
      </c>
      <c r="O165" s="111"/>
      <c r="P165" s="112">
        <v>12410.84</v>
      </c>
      <c r="Q165" s="113">
        <f t="shared" si="10"/>
        <v>4.2094731672117436E-3</v>
      </c>
      <c r="R165" s="114"/>
      <c r="S165" s="115"/>
      <c r="T165" s="105"/>
    </row>
    <row r="166" spans="1:20" outlineLevel="1">
      <c r="A166" s="105"/>
      <c r="B166" s="106" t="s">
        <v>308</v>
      </c>
      <c r="C166" s="105"/>
      <c r="D166" s="107">
        <v>57255</v>
      </c>
      <c r="E166" s="107" t="s">
        <v>380</v>
      </c>
      <c r="F166" s="108"/>
      <c r="G166" s="109"/>
      <c r="H166" s="110"/>
      <c r="I166" s="111"/>
      <c r="J166" s="112">
        <v>723.39</v>
      </c>
      <c r="K166" s="111"/>
      <c r="L166" s="112">
        <v>874.92</v>
      </c>
      <c r="M166" s="111"/>
      <c r="N166" s="112">
        <v>3715.59</v>
      </c>
      <c r="O166" s="111"/>
      <c r="P166" s="112">
        <v>20925.34</v>
      </c>
      <c r="Q166" s="113">
        <f t="shared" si="10"/>
        <v>7.0973968921348267E-3</v>
      </c>
      <c r="R166" s="114"/>
      <c r="S166" s="115"/>
      <c r="T166" s="105"/>
    </row>
    <row r="167" spans="1:20" outlineLevel="1">
      <c r="A167" s="105"/>
      <c r="B167" s="106" t="s">
        <v>308</v>
      </c>
      <c r="C167" s="105"/>
      <c r="D167" s="107">
        <v>57275</v>
      </c>
      <c r="E167" s="107" t="s">
        <v>381</v>
      </c>
      <c r="F167" s="108"/>
      <c r="G167" s="109"/>
      <c r="H167" s="110"/>
      <c r="I167" s="111"/>
      <c r="J167" s="112">
        <v>212.34</v>
      </c>
      <c r="K167" s="111"/>
      <c r="L167" s="112">
        <v>212.34</v>
      </c>
      <c r="M167" s="111"/>
      <c r="N167" s="112">
        <v>212.36</v>
      </c>
      <c r="O167" s="111"/>
      <c r="P167" s="112">
        <v>2548.11</v>
      </c>
      <c r="Q167" s="113">
        <f t="shared" si="10"/>
        <v>8.6426065214795429E-4</v>
      </c>
      <c r="R167" s="114"/>
      <c r="S167" s="115"/>
      <c r="T167" s="105"/>
    </row>
    <row r="168" spans="1:20" outlineLevel="1">
      <c r="A168" s="105"/>
      <c r="B168" s="106" t="s">
        <v>308</v>
      </c>
      <c r="C168" s="105"/>
      <c r="D168" s="107">
        <v>57280</v>
      </c>
      <c r="E168" s="107" t="s">
        <v>382</v>
      </c>
      <c r="F168" s="108"/>
      <c r="G168" s="109"/>
      <c r="H168" s="110"/>
      <c r="I168" s="111"/>
      <c r="J168" s="112">
        <v>0</v>
      </c>
      <c r="K168" s="111"/>
      <c r="L168" s="112">
        <v>0</v>
      </c>
      <c r="M168" s="111"/>
      <c r="N168" s="112">
        <v>0</v>
      </c>
      <c r="O168" s="111"/>
      <c r="P168" s="112">
        <v>60.98</v>
      </c>
      <c r="Q168" s="113">
        <f t="shared" si="10"/>
        <v>2.0683021756510606E-5</v>
      </c>
      <c r="R168" s="114"/>
      <c r="S168" s="115"/>
      <c r="T168" s="105"/>
    </row>
    <row r="169" spans="1:20" outlineLevel="1">
      <c r="A169" s="105"/>
      <c r="B169" s="106" t="s">
        <v>308</v>
      </c>
      <c r="C169" s="105"/>
      <c r="D169" s="107">
        <v>57324</v>
      </c>
      <c r="E169" s="107" t="s">
        <v>540</v>
      </c>
      <c r="F169" s="108"/>
      <c r="G169" s="109"/>
      <c r="H169" s="110"/>
      <c r="I169" s="111"/>
      <c r="J169" s="112">
        <v>0</v>
      </c>
      <c r="K169" s="111"/>
      <c r="L169" s="112">
        <v>0</v>
      </c>
      <c r="M169" s="111"/>
      <c r="N169" s="112">
        <v>0</v>
      </c>
      <c r="O169" s="111"/>
      <c r="P169" s="112">
        <v>600</v>
      </c>
      <c r="Q169" s="113">
        <f t="shared" si="10"/>
        <v>2.035062816317869E-4</v>
      </c>
      <c r="R169" s="114"/>
      <c r="S169" s="115"/>
      <c r="T169" s="105"/>
    </row>
    <row r="170" spans="1:20" outlineLevel="1">
      <c r="A170" s="105"/>
      <c r="B170" s="106" t="s">
        <v>308</v>
      </c>
      <c r="C170" s="105"/>
      <c r="D170" s="107">
        <v>57353</v>
      </c>
      <c r="E170" s="107" t="s">
        <v>541</v>
      </c>
      <c r="F170" s="108"/>
      <c r="G170" s="109"/>
      <c r="H170" s="110"/>
      <c r="I170" s="111"/>
      <c r="J170" s="112">
        <v>0</v>
      </c>
      <c r="K170" s="111"/>
      <c r="L170" s="112">
        <v>0</v>
      </c>
      <c r="M170" s="111"/>
      <c r="N170" s="112">
        <v>0</v>
      </c>
      <c r="O170" s="111"/>
      <c r="P170" s="112">
        <v>0</v>
      </c>
      <c r="Q170" s="113">
        <f t="shared" si="10"/>
        <v>0</v>
      </c>
      <c r="R170" s="114"/>
      <c r="S170" s="115"/>
      <c r="T170" s="105"/>
    </row>
    <row r="171" spans="1:20" outlineLevel="1">
      <c r="A171" s="105"/>
      <c r="B171" s="106" t="s">
        <v>308</v>
      </c>
      <c r="C171" s="105"/>
      <c r="D171" s="107">
        <v>57357</v>
      </c>
      <c r="E171" s="107" t="s">
        <v>383</v>
      </c>
      <c r="F171" s="108"/>
      <c r="G171" s="109"/>
      <c r="H171" s="110"/>
      <c r="I171" s="111"/>
      <c r="J171" s="112">
        <v>0</v>
      </c>
      <c r="K171" s="111"/>
      <c r="L171" s="112">
        <v>0</v>
      </c>
      <c r="M171" s="111"/>
      <c r="N171" s="112">
        <v>0</v>
      </c>
      <c r="O171" s="111"/>
      <c r="P171" s="112">
        <v>1247</v>
      </c>
      <c r="Q171" s="113">
        <f t="shared" si="10"/>
        <v>4.229538886580638E-4</v>
      </c>
      <c r="R171" s="114"/>
      <c r="S171" s="115"/>
      <c r="T171" s="105"/>
    </row>
    <row r="172" spans="1:20" outlineLevel="1">
      <c r="A172" s="105"/>
      <c r="B172" s="106" t="s">
        <v>308</v>
      </c>
      <c r="C172" s="105"/>
      <c r="D172" s="107">
        <v>57370</v>
      </c>
      <c r="E172" s="107" t="s">
        <v>384</v>
      </c>
      <c r="F172" s="108"/>
      <c r="G172" s="109"/>
      <c r="H172" s="110"/>
      <c r="I172" s="111"/>
      <c r="J172" s="112">
        <v>16.07</v>
      </c>
      <c r="K172" s="111"/>
      <c r="L172" s="112">
        <v>16.07</v>
      </c>
      <c r="M172" s="111"/>
      <c r="N172" s="112">
        <v>16.07</v>
      </c>
      <c r="O172" s="111"/>
      <c r="P172" s="112">
        <v>2630.84</v>
      </c>
      <c r="Q172" s="113">
        <f t="shared" si="10"/>
        <v>8.9232077661361711E-4</v>
      </c>
      <c r="R172" s="114"/>
      <c r="S172" s="115"/>
      <c r="T172" s="105"/>
    </row>
    <row r="173" spans="1:20" s="65" customFormat="1" ht="5.0999999999999996" customHeight="1" outlineLevel="1">
      <c r="A173" s="140" t="s">
        <v>301</v>
      </c>
      <c r="B173" s="138" t="s">
        <v>301</v>
      </c>
      <c r="C173" s="110"/>
      <c r="D173" s="108"/>
      <c r="E173" s="108"/>
      <c r="F173" s="108"/>
      <c r="G173" s="108"/>
      <c r="H173" s="110"/>
      <c r="I173" s="110"/>
      <c r="J173" s="143"/>
      <c r="K173" s="142"/>
      <c r="L173" s="143"/>
      <c r="M173" s="142"/>
      <c r="N173" s="143"/>
      <c r="O173" s="142"/>
      <c r="P173" s="143"/>
      <c r="Q173" s="137"/>
      <c r="R173" s="120"/>
      <c r="S173" s="120"/>
      <c r="T173" s="110"/>
    </row>
    <row r="174" spans="1:20" s="65" customFormat="1">
      <c r="A174" s="140" t="s">
        <v>377</v>
      </c>
      <c r="B174" s="138" t="s">
        <v>301</v>
      </c>
      <c r="C174" s="110"/>
      <c r="D174" s="110"/>
      <c r="E174" s="110"/>
      <c r="F174" s="108" t="s">
        <v>385</v>
      </c>
      <c r="G174" s="110"/>
      <c r="H174" s="110"/>
      <c r="I174" s="110"/>
      <c r="J174" s="141">
        <f>SUM(J161:J173)</f>
        <v>2694.2700000000004</v>
      </c>
      <c r="K174" s="142"/>
      <c r="L174" s="141">
        <f>SUM(L161:L173)</f>
        <v>2786.5800000000004</v>
      </c>
      <c r="M174" s="142"/>
      <c r="N174" s="141">
        <f>SUM(N161:N173)</f>
        <v>15087.5</v>
      </c>
      <c r="O174" s="142"/>
      <c r="P174" s="141">
        <f>SUM(P161:P173)</f>
        <v>57750.900000000009</v>
      </c>
      <c r="Q174" s="113">
        <f>IF(P$57=0,0,P174/P$57)</f>
        <v>1.9587784866481939E-2</v>
      </c>
      <c r="R174" s="120"/>
      <c r="S174" s="120"/>
      <c r="T174" s="110"/>
    </row>
    <row r="175" spans="1:20" s="65" customFormat="1" outlineLevel="1">
      <c r="A175" s="138" t="s">
        <v>301</v>
      </c>
      <c r="B175" s="138"/>
      <c r="C175" s="110"/>
      <c r="D175" s="110"/>
      <c r="E175" s="110"/>
      <c r="F175" s="110"/>
      <c r="G175" s="110"/>
      <c r="H175" s="110"/>
      <c r="I175" s="110"/>
      <c r="J175" s="142"/>
      <c r="K175" s="142"/>
      <c r="L175" s="142"/>
      <c r="M175" s="142"/>
      <c r="N175" s="142"/>
      <c r="O175" s="142"/>
      <c r="P175" s="142"/>
      <c r="Q175" s="137"/>
      <c r="R175" s="120"/>
      <c r="S175" s="120"/>
      <c r="T175" s="110"/>
    </row>
    <row r="176" spans="1:20" s="65" customFormat="1" outlineLevel="1">
      <c r="A176" s="138" t="s">
        <v>301</v>
      </c>
      <c r="B176" s="138"/>
      <c r="C176" s="110"/>
      <c r="D176" s="151"/>
      <c r="E176" s="151"/>
      <c r="F176" s="151"/>
      <c r="G176" s="151"/>
      <c r="H176" s="151"/>
      <c r="I176" s="151"/>
      <c r="J176" s="152"/>
      <c r="K176" s="152"/>
      <c r="L176" s="152"/>
      <c r="M176" s="152"/>
      <c r="N176" s="152"/>
      <c r="O176" s="152"/>
      <c r="P176" s="152"/>
      <c r="Q176" s="153"/>
      <c r="R176" s="151"/>
      <c r="S176" s="120"/>
      <c r="T176" s="110"/>
    </row>
    <row r="177" spans="1:20" s="65" customFormat="1" ht="4.5" customHeight="1" outlineLevel="1">
      <c r="A177" s="138"/>
      <c r="B177" s="138"/>
      <c r="C177" s="110"/>
      <c r="D177" s="144"/>
      <c r="E177" s="110"/>
      <c r="F177" s="110"/>
      <c r="G177" s="110"/>
      <c r="H177" s="110"/>
      <c r="I177" s="110"/>
      <c r="J177" s="143"/>
      <c r="K177" s="142"/>
      <c r="L177" s="143"/>
      <c r="M177" s="142"/>
      <c r="N177" s="143"/>
      <c r="O177" s="142"/>
      <c r="P177" s="143"/>
      <c r="Q177" s="137"/>
      <c r="R177" s="120"/>
      <c r="S177" s="120"/>
      <c r="T177" s="110"/>
    </row>
    <row r="178" spans="1:20" s="65" customFormat="1">
      <c r="A178" s="138"/>
      <c r="B178" s="138"/>
      <c r="C178" s="110"/>
      <c r="D178" s="110"/>
      <c r="E178" s="110"/>
      <c r="F178" s="110" t="s">
        <v>386</v>
      </c>
      <c r="G178" s="110"/>
      <c r="H178" s="110"/>
      <c r="I178" s="110"/>
      <c r="J178" s="141">
        <f>SUM(J176:J177)</f>
        <v>0</v>
      </c>
      <c r="K178" s="142"/>
      <c r="L178" s="141">
        <f>SUM(L176:L177)</f>
        <v>0</v>
      </c>
      <c r="M178" s="142"/>
      <c r="N178" s="141">
        <f>SUM(N176:N177)</f>
        <v>0</v>
      </c>
      <c r="O178" s="142"/>
      <c r="P178" s="141">
        <f>SUM(P176:P177)</f>
        <v>0</v>
      </c>
      <c r="Q178" s="113">
        <f>IF(P$57=0,0,P178/P$57)</f>
        <v>0</v>
      </c>
      <c r="R178" s="120"/>
      <c r="S178" s="120"/>
      <c r="T178" s="110"/>
    </row>
    <row r="179" spans="1:20" s="65" customFormat="1" outlineLevel="1">
      <c r="A179" s="138"/>
      <c r="B179" s="138"/>
      <c r="C179" s="110"/>
      <c r="D179" s="110"/>
      <c r="E179" s="110"/>
      <c r="F179" s="110"/>
      <c r="G179" s="110"/>
      <c r="H179" s="110"/>
      <c r="I179" s="110"/>
      <c r="J179" s="142"/>
      <c r="K179" s="142"/>
      <c r="L179" s="142"/>
      <c r="M179" s="142"/>
      <c r="N179" s="142"/>
      <c r="O179" s="142"/>
      <c r="P179" s="142"/>
      <c r="Q179" s="137"/>
      <c r="R179" s="120"/>
      <c r="S179" s="120"/>
      <c r="T179" s="110"/>
    </row>
    <row r="180" spans="1:20" s="65" customFormat="1" outlineLevel="1">
      <c r="A180" s="138"/>
      <c r="B180" s="138"/>
      <c r="C180" s="110"/>
      <c r="D180" s="110"/>
      <c r="E180" s="110"/>
      <c r="F180" s="110"/>
      <c r="G180" s="110"/>
      <c r="H180" s="110"/>
      <c r="I180" s="110"/>
      <c r="J180" s="142"/>
      <c r="K180" s="142"/>
      <c r="L180" s="142"/>
      <c r="M180" s="142"/>
      <c r="N180" s="142"/>
      <c r="O180" s="142"/>
      <c r="P180" s="142"/>
      <c r="Q180" s="137"/>
      <c r="R180" s="120"/>
      <c r="S180" s="120"/>
      <c r="T180" s="110"/>
    </row>
    <row r="181" spans="1:20" outlineLevel="1">
      <c r="A181" s="105"/>
      <c r="B181" s="106" t="s">
        <v>387</v>
      </c>
      <c r="C181" s="105"/>
      <c r="D181" s="107">
        <v>59340</v>
      </c>
      <c r="E181" s="107" t="s">
        <v>388</v>
      </c>
      <c r="F181" s="108"/>
      <c r="G181" s="109"/>
      <c r="H181" s="110"/>
      <c r="I181" s="111"/>
      <c r="J181" s="112">
        <v>1818.27</v>
      </c>
      <c r="K181" s="111"/>
      <c r="L181" s="112">
        <v>1818.27</v>
      </c>
      <c r="M181" s="111"/>
      <c r="N181" s="112">
        <v>1818.27</v>
      </c>
      <c r="O181" s="111"/>
      <c r="P181" s="112">
        <v>21819.24</v>
      </c>
      <c r="Q181" s="113">
        <f t="shared" ref="Q181:Q184" si="11">IF(P$57=0,0,P181/P$57)</f>
        <v>7.4005873340525843E-3</v>
      </c>
      <c r="R181" s="114"/>
      <c r="S181" s="115"/>
      <c r="T181" s="105"/>
    </row>
    <row r="182" spans="1:20" outlineLevel="1">
      <c r="A182" s="105"/>
      <c r="B182" s="106" t="s">
        <v>308</v>
      </c>
      <c r="C182" s="105"/>
      <c r="D182" s="107">
        <v>59343</v>
      </c>
      <c r="E182" s="107" t="s">
        <v>389</v>
      </c>
      <c r="F182" s="108"/>
      <c r="G182" s="109"/>
      <c r="H182" s="110"/>
      <c r="I182" s="111"/>
      <c r="J182" s="112">
        <v>0</v>
      </c>
      <c r="K182" s="111"/>
      <c r="L182" s="112">
        <v>0</v>
      </c>
      <c r="M182" s="111"/>
      <c r="N182" s="112">
        <v>0</v>
      </c>
      <c r="O182" s="111"/>
      <c r="P182" s="112">
        <v>4580</v>
      </c>
      <c r="Q182" s="113">
        <f t="shared" si="11"/>
        <v>1.55343128312264E-3</v>
      </c>
      <c r="R182" s="114"/>
      <c r="S182" s="115"/>
      <c r="T182" s="105"/>
    </row>
    <row r="183" spans="1:20" outlineLevel="1">
      <c r="A183" s="105"/>
      <c r="B183" s="106" t="s">
        <v>308</v>
      </c>
      <c r="C183" s="105"/>
      <c r="D183" s="107">
        <v>59344</v>
      </c>
      <c r="E183" s="107" t="s">
        <v>390</v>
      </c>
      <c r="F183" s="108"/>
      <c r="G183" s="109"/>
      <c r="H183" s="110"/>
      <c r="I183" s="111"/>
      <c r="J183" s="112">
        <v>0</v>
      </c>
      <c r="K183" s="111"/>
      <c r="L183" s="112">
        <v>0</v>
      </c>
      <c r="M183" s="111"/>
      <c r="N183" s="112">
        <v>0</v>
      </c>
      <c r="O183" s="111"/>
      <c r="P183" s="112">
        <v>-14674.93</v>
      </c>
      <c r="Q183" s="113">
        <f t="shared" si="11"/>
        <v>-4.9774007291779315E-3</v>
      </c>
      <c r="R183" s="114"/>
      <c r="S183" s="115"/>
      <c r="T183" s="105"/>
    </row>
    <row r="184" spans="1:20" outlineLevel="1">
      <c r="A184" s="105"/>
      <c r="B184" s="106" t="s">
        <v>308</v>
      </c>
      <c r="C184" s="105"/>
      <c r="D184" s="107">
        <v>59500</v>
      </c>
      <c r="E184" s="107" t="s">
        <v>391</v>
      </c>
      <c r="F184" s="108"/>
      <c r="G184" s="109"/>
      <c r="H184" s="110"/>
      <c r="I184" s="111"/>
      <c r="J184" s="112">
        <v>100</v>
      </c>
      <c r="K184" s="111"/>
      <c r="L184" s="112">
        <v>-3000</v>
      </c>
      <c r="M184" s="111"/>
      <c r="N184" s="112">
        <v>0</v>
      </c>
      <c r="O184" s="111"/>
      <c r="P184" s="112">
        <v>-4695</v>
      </c>
      <c r="Q184" s="113">
        <f t="shared" si="11"/>
        <v>-1.5924366537687325E-3</v>
      </c>
      <c r="R184" s="114"/>
      <c r="S184" s="115"/>
      <c r="T184" s="105"/>
    </row>
    <row r="185" spans="1:20" s="65" customFormat="1" ht="5.0999999999999996" customHeight="1" outlineLevel="1">
      <c r="A185" s="138"/>
      <c r="B185" s="138" t="s">
        <v>301</v>
      </c>
      <c r="C185" s="110"/>
      <c r="D185" s="108"/>
      <c r="E185" s="108"/>
      <c r="F185" s="108"/>
      <c r="G185" s="108"/>
      <c r="H185" s="110"/>
      <c r="I185" s="110"/>
      <c r="J185" s="143"/>
      <c r="K185" s="142"/>
      <c r="L185" s="143"/>
      <c r="M185" s="142"/>
      <c r="N185" s="143"/>
      <c r="O185" s="142"/>
      <c r="P185" s="143"/>
      <c r="Q185" s="137"/>
      <c r="R185" s="120"/>
      <c r="S185" s="120"/>
      <c r="T185" s="110"/>
    </row>
    <row r="186" spans="1:20" s="65" customFormat="1">
      <c r="A186" s="140" t="s">
        <v>387</v>
      </c>
      <c r="B186" s="147"/>
      <c r="C186" s="110"/>
      <c r="D186" s="110"/>
      <c r="E186" s="110"/>
      <c r="F186" s="108" t="s">
        <v>392</v>
      </c>
      <c r="G186" s="110"/>
      <c r="H186" s="110"/>
      <c r="I186" s="110"/>
      <c r="J186" s="141">
        <f>SUM(J180:J185)</f>
        <v>1918.27</v>
      </c>
      <c r="K186" s="142"/>
      <c r="L186" s="141">
        <f>SUM(L180:L185)</f>
        <v>-1181.73</v>
      </c>
      <c r="M186" s="142"/>
      <c r="N186" s="141">
        <f>SUM(N180:N185)</f>
        <v>1818.27</v>
      </c>
      <c r="O186" s="142"/>
      <c r="P186" s="141">
        <f>SUM(P180:P185)</f>
        <v>7029.3100000000013</v>
      </c>
      <c r="Q186" s="113">
        <f>IF(P$57=0,0,P186/P$57)</f>
        <v>2.3841812342285606E-3</v>
      </c>
      <c r="R186" s="120"/>
      <c r="S186" s="120"/>
      <c r="T186" s="110"/>
    </row>
    <row r="187" spans="1:20" s="65" customFormat="1" outlineLevel="1">
      <c r="A187" s="138" t="s">
        <v>301</v>
      </c>
      <c r="B187" s="138" t="s">
        <v>301</v>
      </c>
      <c r="C187" s="110"/>
      <c r="D187" s="110"/>
      <c r="E187" s="110"/>
      <c r="F187" s="110"/>
      <c r="G187" s="110"/>
      <c r="H187" s="110"/>
      <c r="I187" s="110"/>
      <c r="J187" s="142"/>
      <c r="K187" s="142"/>
      <c r="L187" s="142"/>
      <c r="M187" s="142"/>
      <c r="N187" s="142"/>
      <c r="O187" s="142"/>
      <c r="P187" s="142"/>
      <c r="Q187" s="137"/>
      <c r="R187" s="120"/>
      <c r="S187" s="120"/>
      <c r="T187" s="110"/>
    </row>
    <row r="188" spans="1:20" outlineLevel="1">
      <c r="A188" s="105"/>
      <c r="B188" s="106" t="s">
        <v>393</v>
      </c>
      <c r="C188" s="105"/>
      <c r="D188" s="107">
        <v>91010</v>
      </c>
      <c r="E188" s="107" t="s">
        <v>542</v>
      </c>
      <c r="F188" s="108"/>
      <c r="G188" s="109"/>
      <c r="H188" s="110"/>
      <c r="I188" s="111"/>
      <c r="J188" s="112">
        <v>-2000</v>
      </c>
      <c r="K188" s="111"/>
      <c r="L188" s="112">
        <v>0</v>
      </c>
      <c r="M188" s="111"/>
      <c r="N188" s="112">
        <v>0</v>
      </c>
      <c r="O188" s="111"/>
      <c r="P188" s="112">
        <v>-6000</v>
      </c>
      <c r="Q188" s="113">
        <f>IF(P$57=0,0,P188/P$57)</f>
        <v>-2.035062816317869E-3</v>
      </c>
      <c r="R188" s="114"/>
      <c r="S188" s="115"/>
      <c r="T188" s="105"/>
    </row>
    <row r="189" spans="1:20" s="65" customFormat="1" ht="5.0999999999999996" customHeight="1" outlineLevel="1">
      <c r="A189" s="138" t="s">
        <v>301</v>
      </c>
      <c r="B189" s="140" t="s">
        <v>301</v>
      </c>
      <c r="C189" s="110"/>
      <c r="D189" s="108"/>
      <c r="E189" s="108"/>
      <c r="F189" s="108"/>
      <c r="G189" s="108"/>
      <c r="H189" s="110"/>
      <c r="I189" s="110"/>
      <c r="J189" s="143"/>
      <c r="K189" s="142"/>
      <c r="L189" s="143"/>
      <c r="M189" s="142"/>
      <c r="N189" s="143"/>
      <c r="O189" s="142"/>
      <c r="P189" s="143"/>
      <c r="Q189" s="137"/>
      <c r="R189" s="120"/>
      <c r="S189" s="120"/>
      <c r="T189" s="110"/>
    </row>
    <row r="190" spans="1:20" s="65" customFormat="1">
      <c r="A190" s="140" t="s">
        <v>393</v>
      </c>
      <c r="B190" s="140" t="s">
        <v>301</v>
      </c>
      <c r="C190" s="110"/>
      <c r="D190" s="110"/>
      <c r="E190" s="110"/>
      <c r="F190" s="107" t="s">
        <v>394</v>
      </c>
      <c r="G190" s="110"/>
      <c r="H190" s="110"/>
      <c r="I190" s="110"/>
      <c r="J190" s="141">
        <f>SUM(J188:J189)</f>
        <v>-2000</v>
      </c>
      <c r="K190" s="142"/>
      <c r="L190" s="141">
        <f>SUM(L188:L189)</f>
        <v>0</v>
      </c>
      <c r="M190" s="142"/>
      <c r="N190" s="141">
        <f>SUM(N188:N189)</f>
        <v>0</v>
      </c>
      <c r="O190" s="142"/>
      <c r="P190" s="141">
        <f>SUM(P188:P189)</f>
        <v>-6000</v>
      </c>
      <c r="Q190" s="113">
        <f>IF(P$57=0,0,P190/P$57)</f>
        <v>-2.035062816317869E-3</v>
      </c>
      <c r="R190" s="120"/>
      <c r="S190" s="120"/>
      <c r="T190" s="110"/>
    </row>
    <row r="191" spans="1:20" s="65" customFormat="1" ht="7.5" customHeight="1">
      <c r="A191" s="140" t="s">
        <v>301</v>
      </c>
      <c r="B191" s="140"/>
      <c r="C191" s="110"/>
      <c r="D191" s="110"/>
      <c r="E191" s="110"/>
      <c r="F191" s="110"/>
      <c r="G191" s="110"/>
      <c r="H191" s="110"/>
      <c r="I191" s="110"/>
      <c r="J191" s="142"/>
      <c r="K191" s="142"/>
      <c r="L191" s="142"/>
      <c r="M191" s="142"/>
      <c r="N191" s="142"/>
      <c r="O191" s="142"/>
      <c r="P191" s="142"/>
      <c r="Q191" s="137"/>
      <c r="R191" s="120"/>
      <c r="S191" s="120"/>
      <c r="T191" s="110"/>
    </row>
    <row r="192" spans="1:20" s="65" customFormat="1">
      <c r="A192" s="140" t="s">
        <v>301</v>
      </c>
      <c r="B192" s="140"/>
      <c r="C192" s="110"/>
      <c r="D192" s="110"/>
      <c r="E192" s="150" t="s">
        <v>395</v>
      </c>
      <c r="F192" s="110"/>
      <c r="G192" s="110"/>
      <c r="H192" s="110"/>
      <c r="I192" s="110"/>
      <c r="J192" s="146">
        <f>+J104+J108+J137+J145+J159+J174+J186+J178+J190</f>
        <v>99133.63</v>
      </c>
      <c r="K192" s="142"/>
      <c r="L192" s="146">
        <f>+L104+L108+L137+L145+L159+L174+L186+L178+L190</f>
        <v>99041.18</v>
      </c>
      <c r="M192" s="142"/>
      <c r="N192" s="146">
        <f>+N104+N108+N137+N145+N159+N174+N186+N178+N190</f>
        <v>139030.32999999999</v>
      </c>
      <c r="O192" s="142"/>
      <c r="P192" s="146">
        <f>+P104+P108+P137+P145+P159+P174+P186+P178+P190</f>
        <v>1227231.93</v>
      </c>
      <c r="Q192" s="113">
        <f>IF(P$57=0,0,P192/P$57)</f>
        <v>0.41624901129016895</v>
      </c>
      <c r="R192" s="120"/>
      <c r="S192" s="120"/>
      <c r="T192" s="110"/>
    </row>
    <row r="193" spans="1:20" s="65" customFormat="1" ht="7.5" customHeight="1">
      <c r="A193" s="140"/>
      <c r="B193" s="140"/>
      <c r="C193" s="110"/>
      <c r="D193" s="110"/>
      <c r="E193" s="110"/>
      <c r="F193" s="110"/>
      <c r="G193" s="110"/>
      <c r="H193" s="110"/>
      <c r="I193" s="110"/>
      <c r="J193" s="142"/>
      <c r="K193" s="142"/>
      <c r="L193" s="142"/>
      <c r="M193" s="142"/>
      <c r="N193" s="142"/>
      <c r="O193" s="142"/>
      <c r="P193" s="142"/>
      <c r="Q193" s="137"/>
      <c r="R193" s="120"/>
      <c r="S193" s="120"/>
      <c r="T193" s="110"/>
    </row>
    <row r="194" spans="1:20" s="65" customFormat="1">
      <c r="A194" s="140"/>
      <c r="B194" s="138" t="s">
        <v>301</v>
      </c>
      <c r="C194" s="110"/>
      <c r="D194" s="110"/>
      <c r="E194" s="150" t="s">
        <v>396</v>
      </c>
      <c r="F194" s="110"/>
      <c r="G194" s="110"/>
      <c r="H194" s="110"/>
      <c r="I194" s="110"/>
      <c r="J194" s="146">
        <f>J89-J192</f>
        <v>67176.689999999973</v>
      </c>
      <c r="K194" s="142"/>
      <c r="L194" s="146">
        <f>L89-L192</f>
        <v>63310.81</v>
      </c>
      <c r="M194" s="142"/>
      <c r="N194" s="146">
        <f>N89-N192</f>
        <v>9209.820000000007</v>
      </c>
      <c r="O194" s="142"/>
      <c r="P194" s="146">
        <f>P89-P192</f>
        <v>719753.55</v>
      </c>
      <c r="Q194" s="113">
        <f>IF(P$57=0,0,P194/P$57)</f>
        <v>0.24412394775296403</v>
      </c>
      <c r="R194" s="120"/>
      <c r="S194" s="120"/>
      <c r="T194" s="110"/>
    </row>
    <row r="195" spans="1:20" s="65" customFormat="1" ht="7.5" customHeight="1">
      <c r="A195" s="140"/>
      <c r="B195" s="138" t="s">
        <v>301</v>
      </c>
      <c r="C195" s="110"/>
      <c r="D195" s="110"/>
      <c r="E195" s="110"/>
      <c r="F195" s="110"/>
      <c r="G195" s="110"/>
      <c r="H195" s="110"/>
      <c r="I195" s="110"/>
      <c r="J195" s="142"/>
      <c r="K195" s="142"/>
      <c r="L195" s="142"/>
      <c r="M195" s="142"/>
      <c r="N195" s="142"/>
      <c r="O195" s="142"/>
      <c r="P195" s="142"/>
      <c r="Q195" s="137"/>
      <c r="R195" s="120"/>
      <c r="S195" s="120"/>
      <c r="T195" s="110"/>
    </row>
    <row r="196" spans="1:20" s="65" customFormat="1" outlineLevel="1">
      <c r="A196" s="138" t="s">
        <v>301</v>
      </c>
      <c r="B196" s="138" t="s">
        <v>301</v>
      </c>
      <c r="C196" s="110"/>
      <c r="D196" s="110"/>
      <c r="E196" s="110"/>
      <c r="F196" s="110"/>
      <c r="G196" s="110"/>
      <c r="H196" s="110"/>
      <c r="I196" s="110"/>
      <c r="J196" s="142"/>
      <c r="K196" s="142"/>
      <c r="L196" s="142"/>
      <c r="M196" s="142"/>
      <c r="N196" s="142"/>
      <c r="O196" s="142"/>
      <c r="P196" s="142"/>
      <c r="Q196" s="137"/>
      <c r="R196" s="120"/>
      <c r="S196" s="120"/>
      <c r="T196" s="110"/>
    </row>
    <row r="197" spans="1:20" outlineLevel="1">
      <c r="A197" s="105"/>
      <c r="B197" s="106" t="s">
        <v>397</v>
      </c>
      <c r="C197" s="105"/>
      <c r="D197" s="107">
        <v>60225</v>
      </c>
      <c r="E197" s="107" t="s">
        <v>398</v>
      </c>
      <c r="F197" s="108"/>
      <c r="G197" s="109"/>
      <c r="H197" s="110"/>
      <c r="I197" s="111"/>
      <c r="J197" s="112">
        <v>0</v>
      </c>
      <c r="K197" s="111"/>
      <c r="L197" s="112">
        <v>0</v>
      </c>
      <c r="M197" s="111"/>
      <c r="N197" s="112">
        <v>0</v>
      </c>
      <c r="O197" s="111"/>
      <c r="P197" s="112">
        <v>100</v>
      </c>
      <c r="Q197" s="113">
        <f>IF(P$57=0,0,P197/P$57)</f>
        <v>3.3917713605297819E-5</v>
      </c>
      <c r="R197" s="114"/>
      <c r="S197" s="115"/>
      <c r="T197" s="105"/>
    </row>
    <row r="198" spans="1:20" s="65" customFormat="1" ht="5.0999999999999996" customHeight="1" outlineLevel="1">
      <c r="A198" s="138" t="s">
        <v>301</v>
      </c>
      <c r="B198" s="140" t="s">
        <v>301</v>
      </c>
      <c r="C198" s="110"/>
      <c r="D198" s="108"/>
      <c r="E198" s="108"/>
      <c r="F198" s="108"/>
      <c r="G198" s="108"/>
      <c r="H198" s="110"/>
      <c r="I198" s="110"/>
      <c r="J198" s="143"/>
      <c r="K198" s="142"/>
      <c r="L198" s="143"/>
      <c r="M198" s="142"/>
      <c r="N198" s="143"/>
      <c r="O198" s="142"/>
      <c r="P198" s="143"/>
      <c r="Q198" s="137"/>
      <c r="R198" s="120"/>
      <c r="S198" s="120"/>
      <c r="T198" s="110"/>
    </row>
    <row r="199" spans="1:20" s="65" customFormat="1">
      <c r="A199" s="140" t="s">
        <v>397</v>
      </c>
      <c r="B199" s="140" t="s">
        <v>301</v>
      </c>
      <c r="C199" s="110"/>
      <c r="D199" s="110"/>
      <c r="E199" s="110"/>
      <c r="F199" s="108" t="s">
        <v>399</v>
      </c>
      <c r="G199" s="110"/>
      <c r="H199" s="110"/>
      <c r="I199" s="110"/>
      <c r="J199" s="141">
        <f>SUM(J196:J198)</f>
        <v>0</v>
      </c>
      <c r="K199" s="142"/>
      <c r="L199" s="141">
        <f>SUM(L196:L198)</f>
        <v>0</v>
      </c>
      <c r="M199" s="142"/>
      <c r="N199" s="141">
        <f>SUM(N196:N198)</f>
        <v>0</v>
      </c>
      <c r="O199" s="142"/>
      <c r="P199" s="141">
        <f>SUM(P196:P198)</f>
        <v>100</v>
      </c>
      <c r="Q199" s="113">
        <f>IF(P$57=0,0,P199/P$57)</f>
        <v>3.3917713605297819E-5</v>
      </c>
      <c r="R199" s="120"/>
      <c r="S199" s="120"/>
      <c r="T199" s="110"/>
    </row>
    <row r="200" spans="1:20" s="65" customFormat="1" outlineLevel="1">
      <c r="A200" s="140" t="s">
        <v>301</v>
      </c>
      <c r="B200" s="140"/>
      <c r="C200" s="110"/>
      <c r="D200" s="110"/>
      <c r="E200" s="110"/>
      <c r="F200" s="110"/>
      <c r="G200" s="110"/>
      <c r="H200" s="110"/>
      <c r="I200" s="110"/>
      <c r="J200" s="142"/>
      <c r="K200" s="142"/>
      <c r="L200" s="142"/>
      <c r="M200" s="142"/>
      <c r="N200" s="142"/>
      <c r="O200" s="142"/>
      <c r="P200" s="142"/>
      <c r="Q200" s="137"/>
      <c r="R200" s="120"/>
      <c r="S200" s="120"/>
      <c r="T200" s="110"/>
    </row>
    <row r="201" spans="1:20" s="65" customFormat="1" outlineLevel="1">
      <c r="A201" s="140" t="s">
        <v>301</v>
      </c>
      <c r="B201" s="140" t="s">
        <v>301</v>
      </c>
      <c r="C201" s="110"/>
      <c r="D201" s="110"/>
      <c r="E201" s="110"/>
      <c r="F201" s="110"/>
      <c r="G201" s="110"/>
      <c r="H201" s="110"/>
      <c r="I201" s="110"/>
      <c r="J201" s="142"/>
      <c r="K201" s="142"/>
      <c r="L201" s="142"/>
      <c r="M201" s="142"/>
      <c r="N201" s="142"/>
      <c r="O201" s="142"/>
      <c r="P201" s="142"/>
      <c r="Q201" s="137"/>
      <c r="R201" s="120"/>
      <c r="S201" s="120"/>
      <c r="T201" s="110"/>
    </row>
    <row r="202" spans="1:20" outlineLevel="1">
      <c r="A202" s="105"/>
      <c r="B202" s="106" t="s">
        <v>400</v>
      </c>
      <c r="C202" s="105"/>
      <c r="D202" s="107">
        <v>70010</v>
      </c>
      <c r="E202" s="107" t="s">
        <v>360</v>
      </c>
      <c r="F202" s="108"/>
      <c r="G202" s="109"/>
      <c r="H202" s="110"/>
      <c r="I202" s="111"/>
      <c r="J202" s="112">
        <v>4026.55</v>
      </c>
      <c r="K202" s="111"/>
      <c r="L202" s="112">
        <v>3904.5</v>
      </c>
      <c r="M202" s="111"/>
      <c r="N202" s="112">
        <v>4049.46</v>
      </c>
      <c r="O202" s="111"/>
      <c r="P202" s="112">
        <v>47307.38</v>
      </c>
      <c r="Q202" s="113">
        <f t="shared" ref="Q202:Q243" si="12">IF(P$57=0,0,P202/P$57)</f>
        <v>1.6045581662569936E-2</v>
      </c>
      <c r="R202" s="114"/>
      <c r="S202" s="115"/>
      <c r="T202" s="105"/>
    </row>
    <row r="203" spans="1:20" outlineLevel="1">
      <c r="A203" s="105"/>
      <c r="B203" s="106" t="s">
        <v>308</v>
      </c>
      <c r="C203" s="105"/>
      <c r="D203" s="107">
        <v>70020</v>
      </c>
      <c r="E203" s="107" t="s">
        <v>345</v>
      </c>
      <c r="F203" s="108"/>
      <c r="G203" s="109"/>
      <c r="H203" s="110"/>
      <c r="I203" s="111"/>
      <c r="J203" s="112">
        <v>4128.17</v>
      </c>
      <c r="K203" s="111"/>
      <c r="L203" s="112">
        <v>4980.6400000000003</v>
      </c>
      <c r="M203" s="111"/>
      <c r="N203" s="112">
        <v>5094.0200000000004</v>
      </c>
      <c r="O203" s="111"/>
      <c r="P203" s="112">
        <v>57410.06</v>
      </c>
      <c r="Q203" s="113">
        <f t="shared" si="12"/>
        <v>1.9472179731429638E-2</v>
      </c>
      <c r="R203" s="114"/>
      <c r="S203" s="115"/>
      <c r="T203" s="105"/>
    </row>
    <row r="204" spans="1:20" outlineLevel="1">
      <c r="A204" s="105"/>
      <c r="B204" s="106" t="s">
        <v>308</v>
      </c>
      <c r="C204" s="105"/>
      <c r="D204" s="107">
        <v>70025</v>
      </c>
      <c r="E204" s="107" t="s">
        <v>346</v>
      </c>
      <c r="F204" s="108"/>
      <c r="G204" s="109"/>
      <c r="H204" s="110"/>
      <c r="I204" s="111"/>
      <c r="J204" s="112">
        <v>173.31</v>
      </c>
      <c r="K204" s="111"/>
      <c r="L204" s="112">
        <v>16.239999999999998</v>
      </c>
      <c r="M204" s="111"/>
      <c r="N204" s="112">
        <v>11.48</v>
      </c>
      <c r="O204" s="111"/>
      <c r="P204" s="112">
        <v>573.13</v>
      </c>
      <c r="Q204" s="113">
        <f t="shared" si="12"/>
        <v>1.9439259198604337E-4</v>
      </c>
      <c r="R204" s="114"/>
      <c r="S204" s="115"/>
      <c r="T204" s="105"/>
    </row>
    <row r="205" spans="1:20" outlineLevel="1">
      <c r="A205" s="105"/>
      <c r="B205" s="106" t="s">
        <v>308</v>
      </c>
      <c r="C205" s="105"/>
      <c r="D205" s="107">
        <v>70036</v>
      </c>
      <c r="E205" s="107" t="s">
        <v>401</v>
      </c>
      <c r="F205" s="108"/>
      <c r="G205" s="109"/>
      <c r="H205" s="110"/>
      <c r="I205" s="111"/>
      <c r="J205" s="112">
        <v>100</v>
      </c>
      <c r="K205" s="111"/>
      <c r="L205" s="112">
        <v>798</v>
      </c>
      <c r="M205" s="111"/>
      <c r="N205" s="112">
        <v>183</v>
      </c>
      <c r="O205" s="111"/>
      <c r="P205" s="112">
        <v>9727.5</v>
      </c>
      <c r="Q205" s="113">
        <f t="shared" si="12"/>
        <v>3.299345590955345E-3</v>
      </c>
      <c r="R205" s="114"/>
      <c r="S205" s="115"/>
      <c r="T205" s="105"/>
    </row>
    <row r="206" spans="1:20" outlineLevel="1">
      <c r="A206" s="105"/>
      <c r="B206" s="106" t="s">
        <v>308</v>
      </c>
      <c r="C206" s="105"/>
      <c r="D206" s="107">
        <v>70050</v>
      </c>
      <c r="E206" s="107" t="s">
        <v>348</v>
      </c>
      <c r="F206" s="108"/>
      <c r="G206" s="109"/>
      <c r="H206" s="110"/>
      <c r="I206" s="111"/>
      <c r="J206" s="112">
        <v>642.25</v>
      </c>
      <c r="K206" s="111"/>
      <c r="L206" s="112">
        <v>617.91999999999996</v>
      </c>
      <c r="M206" s="111"/>
      <c r="N206" s="112">
        <v>723.35</v>
      </c>
      <c r="O206" s="111"/>
      <c r="P206" s="112">
        <v>8455.48</v>
      </c>
      <c r="Q206" s="113">
        <f t="shared" si="12"/>
        <v>2.8679054903532359E-3</v>
      </c>
      <c r="R206" s="114"/>
      <c r="S206" s="115"/>
      <c r="T206" s="105"/>
    </row>
    <row r="207" spans="1:20" outlineLevel="1">
      <c r="A207" s="105"/>
      <c r="B207" s="106" t="s">
        <v>308</v>
      </c>
      <c r="C207" s="105"/>
      <c r="D207" s="107">
        <v>70060</v>
      </c>
      <c r="E207" s="107" t="s">
        <v>349</v>
      </c>
      <c r="F207" s="108"/>
      <c r="G207" s="109"/>
      <c r="H207" s="110"/>
      <c r="I207" s="111"/>
      <c r="J207" s="112">
        <v>2153.61</v>
      </c>
      <c r="K207" s="111"/>
      <c r="L207" s="112">
        <v>2149.14</v>
      </c>
      <c r="M207" s="111"/>
      <c r="N207" s="112">
        <v>2052.46</v>
      </c>
      <c r="O207" s="111"/>
      <c r="P207" s="112">
        <v>25596.61</v>
      </c>
      <c r="Q207" s="113">
        <f t="shared" si="12"/>
        <v>8.6817848724650218E-3</v>
      </c>
      <c r="R207" s="114"/>
      <c r="S207" s="115"/>
      <c r="T207" s="105"/>
    </row>
    <row r="208" spans="1:20" outlineLevel="1">
      <c r="A208" s="105"/>
      <c r="B208" s="106" t="s">
        <v>308</v>
      </c>
      <c r="C208" s="105"/>
      <c r="D208" s="107">
        <v>70065</v>
      </c>
      <c r="E208" s="107" t="s">
        <v>350</v>
      </c>
      <c r="F208" s="108"/>
      <c r="G208" s="109"/>
      <c r="H208" s="110"/>
      <c r="I208" s="111"/>
      <c r="J208" s="112">
        <v>256.67</v>
      </c>
      <c r="K208" s="111"/>
      <c r="L208" s="112">
        <v>331.32</v>
      </c>
      <c r="M208" s="111"/>
      <c r="N208" s="112">
        <v>153.94</v>
      </c>
      <c r="O208" s="111"/>
      <c r="P208" s="112">
        <v>3728.04</v>
      </c>
      <c r="Q208" s="113">
        <f t="shared" si="12"/>
        <v>1.2644659302909447E-3</v>
      </c>
      <c r="R208" s="114"/>
      <c r="S208" s="115"/>
      <c r="T208" s="105"/>
    </row>
    <row r="209" spans="1:20" outlineLevel="1">
      <c r="A209" s="105"/>
      <c r="B209" s="106" t="s">
        <v>308</v>
      </c>
      <c r="C209" s="105"/>
      <c r="D209" s="107">
        <v>70070</v>
      </c>
      <c r="E209" s="107" t="s">
        <v>351</v>
      </c>
      <c r="F209" s="108"/>
      <c r="G209" s="109"/>
      <c r="H209" s="110"/>
      <c r="I209" s="111"/>
      <c r="J209" s="112">
        <v>1.73</v>
      </c>
      <c r="K209" s="111"/>
      <c r="L209" s="112">
        <v>1.68</v>
      </c>
      <c r="M209" s="111"/>
      <c r="N209" s="112">
        <v>1.3</v>
      </c>
      <c r="O209" s="111"/>
      <c r="P209" s="112">
        <v>913.86</v>
      </c>
      <c r="Q209" s="113">
        <f t="shared" si="12"/>
        <v>3.0996041755337466E-4</v>
      </c>
      <c r="R209" s="114"/>
      <c r="S209" s="115"/>
      <c r="T209" s="105"/>
    </row>
    <row r="210" spans="1:20" outlineLevel="1">
      <c r="A210" s="105"/>
      <c r="B210" s="106" t="s">
        <v>308</v>
      </c>
      <c r="C210" s="105"/>
      <c r="D210" s="107">
        <v>70086</v>
      </c>
      <c r="E210" s="107" t="s">
        <v>352</v>
      </c>
      <c r="F210" s="108"/>
      <c r="G210" s="109"/>
      <c r="H210" s="110"/>
      <c r="I210" s="111"/>
      <c r="J210" s="112">
        <v>0</v>
      </c>
      <c r="K210" s="111"/>
      <c r="L210" s="112">
        <v>0</v>
      </c>
      <c r="M210" s="111"/>
      <c r="N210" s="112">
        <v>118</v>
      </c>
      <c r="O210" s="111"/>
      <c r="P210" s="112">
        <v>373.38</v>
      </c>
      <c r="Q210" s="113">
        <f t="shared" si="12"/>
        <v>1.2664195905946098E-4</v>
      </c>
      <c r="R210" s="114"/>
      <c r="S210" s="115"/>
      <c r="T210" s="105"/>
    </row>
    <row r="211" spans="1:20" outlineLevel="1">
      <c r="A211" s="105"/>
      <c r="B211" s="106" t="s">
        <v>308</v>
      </c>
      <c r="C211" s="105"/>
      <c r="D211" s="107">
        <v>70095</v>
      </c>
      <c r="E211" s="107" t="s">
        <v>402</v>
      </c>
      <c r="F211" s="108"/>
      <c r="G211" s="109"/>
      <c r="H211" s="110"/>
      <c r="I211" s="111"/>
      <c r="J211" s="112">
        <v>12</v>
      </c>
      <c r="K211" s="111"/>
      <c r="L211" s="112">
        <v>473.5</v>
      </c>
      <c r="M211" s="111"/>
      <c r="N211" s="112">
        <v>746.87</v>
      </c>
      <c r="O211" s="111"/>
      <c r="P211" s="112">
        <v>3279.88</v>
      </c>
      <c r="Q211" s="113">
        <f t="shared" si="12"/>
        <v>1.112460304997442E-3</v>
      </c>
      <c r="R211" s="114"/>
      <c r="S211" s="115"/>
      <c r="T211" s="105"/>
    </row>
    <row r="212" spans="1:20" outlineLevel="1">
      <c r="A212" s="105"/>
      <c r="B212" s="106" t="s">
        <v>308</v>
      </c>
      <c r="C212" s="105"/>
      <c r="D212" s="107">
        <v>70105</v>
      </c>
      <c r="E212" s="107" t="s">
        <v>543</v>
      </c>
      <c r="F212" s="108"/>
      <c r="G212" s="109"/>
      <c r="H212" s="110"/>
      <c r="I212" s="111"/>
      <c r="J212" s="112">
        <v>206.22</v>
      </c>
      <c r="K212" s="111"/>
      <c r="L212" s="112">
        <v>206.22</v>
      </c>
      <c r="M212" s="111"/>
      <c r="N212" s="112">
        <v>206.22</v>
      </c>
      <c r="O212" s="111"/>
      <c r="P212" s="112">
        <v>2474.64</v>
      </c>
      <c r="Q212" s="113">
        <f t="shared" si="12"/>
        <v>8.3934130796214186E-4</v>
      </c>
      <c r="R212" s="114"/>
      <c r="S212" s="115"/>
      <c r="T212" s="105"/>
    </row>
    <row r="213" spans="1:20" outlineLevel="1">
      <c r="A213" s="105"/>
      <c r="B213" s="106" t="s">
        <v>308</v>
      </c>
      <c r="C213" s="105"/>
      <c r="D213" s="107">
        <v>70110</v>
      </c>
      <c r="E213" s="107" t="s">
        <v>544</v>
      </c>
      <c r="F213" s="108"/>
      <c r="G213" s="109"/>
      <c r="H213" s="110"/>
      <c r="I213" s="111"/>
      <c r="J213" s="112">
        <v>500</v>
      </c>
      <c r="K213" s="111"/>
      <c r="L213" s="112">
        <v>250</v>
      </c>
      <c r="M213" s="111"/>
      <c r="N213" s="112">
        <v>0</v>
      </c>
      <c r="O213" s="111"/>
      <c r="P213" s="112">
        <v>1060</v>
      </c>
      <c r="Q213" s="113">
        <f t="shared" si="12"/>
        <v>3.5952776421615688E-4</v>
      </c>
      <c r="R213" s="114"/>
      <c r="S213" s="115"/>
      <c r="T213" s="105"/>
    </row>
    <row r="214" spans="1:20" outlineLevel="1">
      <c r="A214" s="105"/>
      <c r="B214" s="106" t="s">
        <v>308</v>
      </c>
      <c r="C214" s="105"/>
      <c r="D214" s="107">
        <v>70116</v>
      </c>
      <c r="E214" s="107" t="s">
        <v>354</v>
      </c>
      <c r="F214" s="108"/>
      <c r="G214" s="109"/>
      <c r="H214" s="110"/>
      <c r="I214" s="111"/>
      <c r="J214" s="112">
        <v>160.13</v>
      </c>
      <c r="K214" s="111"/>
      <c r="L214" s="112">
        <v>173.6</v>
      </c>
      <c r="M214" s="111"/>
      <c r="N214" s="112">
        <v>230.43</v>
      </c>
      <c r="O214" s="111"/>
      <c r="P214" s="112">
        <v>2292.02</v>
      </c>
      <c r="Q214" s="113">
        <f t="shared" si="12"/>
        <v>7.7740077937614698E-4</v>
      </c>
      <c r="R214" s="114"/>
      <c r="S214" s="115"/>
      <c r="T214" s="105"/>
    </row>
    <row r="215" spans="1:20" outlineLevel="1">
      <c r="A215" s="105"/>
      <c r="B215" s="106" t="s">
        <v>308</v>
      </c>
      <c r="C215" s="105"/>
      <c r="D215" s="107">
        <v>70147</v>
      </c>
      <c r="E215" s="107" t="s">
        <v>545</v>
      </c>
      <c r="F215" s="108"/>
      <c r="G215" s="109"/>
      <c r="H215" s="110"/>
      <c r="I215" s="111"/>
      <c r="J215" s="112">
        <v>101.85</v>
      </c>
      <c r="K215" s="111"/>
      <c r="L215" s="112">
        <v>627.75</v>
      </c>
      <c r="M215" s="111"/>
      <c r="N215" s="112">
        <v>309.3</v>
      </c>
      <c r="O215" s="111"/>
      <c r="P215" s="112">
        <v>14828.62</v>
      </c>
      <c r="Q215" s="113">
        <f t="shared" si="12"/>
        <v>5.0295288632179131E-3</v>
      </c>
      <c r="R215" s="114"/>
      <c r="S215" s="115"/>
      <c r="T215" s="105"/>
    </row>
    <row r="216" spans="1:20" outlineLevel="1">
      <c r="A216" s="105"/>
      <c r="B216" s="106" t="s">
        <v>308</v>
      </c>
      <c r="C216" s="105"/>
      <c r="D216" s="107">
        <v>70148</v>
      </c>
      <c r="E216" s="107" t="s">
        <v>373</v>
      </c>
      <c r="F216" s="108"/>
      <c r="G216" s="109"/>
      <c r="H216" s="110"/>
      <c r="I216" s="111"/>
      <c r="J216" s="112">
        <v>672.49</v>
      </c>
      <c r="K216" s="111"/>
      <c r="L216" s="112">
        <v>625.72</v>
      </c>
      <c r="M216" s="111"/>
      <c r="N216" s="112">
        <v>907.11</v>
      </c>
      <c r="O216" s="111"/>
      <c r="P216" s="112">
        <v>15669.28</v>
      </c>
      <c r="Q216" s="113">
        <f t="shared" si="12"/>
        <v>5.3146615144122099E-3</v>
      </c>
      <c r="R216" s="114"/>
      <c r="S216" s="115"/>
      <c r="T216" s="105"/>
    </row>
    <row r="217" spans="1:20" outlineLevel="1">
      <c r="A217" s="105"/>
      <c r="B217" s="106" t="s">
        <v>308</v>
      </c>
      <c r="C217" s="105"/>
      <c r="D217" s="107">
        <v>70150</v>
      </c>
      <c r="E217" s="107" t="s">
        <v>368</v>
      </c>
      <c r="F217" s="108"/>
      <c r="G217" s="109"/>
      <c r="H217" s="110"/>
      <c r="I217" s="111"/>
      <c r="J217" s="112">
        <v>428.48</v>
      </c>
      <c r="K217" s="111"/>
      <c r="L217" s="112">
        <v>1686.94</v>
      </c>
      <c r="M217" s="111"/>
      <c r="N217" s="112">
        <v>1961.16</v>
      </c>
      <c r="O217" s="111"/>
      <c r="P217" s="112">
        <v>17642.650000000001</v>
      </c>
      <c r="Q217" s="113">
        <f t="shared" si="12"/>
        <v>5.9839834993850758E-3</v>
      </c>
      <c r="R217" s="114"/>
      <c r="S217" s="115"/>
      <c r="T217" s="105"/>
    </row>
    <row r="218" spans="1:20" outlineLevel="1">
      <c r="A218" s="105"/>
      <c r="B218" s="106" t="s">
        <v>308</v>
      </c>
      <c r="C218" s="105"/>
      <c r="D218" s="107">
        <v>70165</v>
      </c>
      <c r="E218" s="107" t="s">
        <v>369</v>
      </c>
      <c r="F218" s="108"/>
      <c r="G218" s="109"/>
      <c r="H218" s="110"/>
      <c r="I218" s="111"/>
      <c r="J218" s="112">
        <v>880.87</v>
      </c>
      <c r="K218" s="111"/>
      <c r="L218" s="112">
        <v>889.22</v>
      </c>
      <c r="M218" s="111"/>
      <c r="N218" s="112">
        <v>986.29</v>
      </c>
      <c r="O218" s="111"/>
      <c r="P218" s="112">
        <v>12193.47</v>
      </c>
      <c r="Q218" s="113">
        <f t="shared" si="12"/>
        <v>4.1357462331479073E-3</v>
      </c>
      <c r="R218" s="114"/>
      <c r="S218" s="115"/>
      <c r="T218" s="105"/>
    </row>
    <row r="219" spans="1:20" outlineLevel="1">
      <c r="A219" s="105"/>
      <c r="B219" s="106" t="s">
        <v>308</v>
      </c>
      <c r="C219" s="105"/>
      <c r="D219" s="107">
        <v>70167</v>
      </c>
      <c r="E219" s="107" t="s">
        <v>403</v>
      </c>
      <c r="F219" s="108"/>
      <c r="G219" s="109"/>
      <c r="H219" s="110"/>
      <c r="I219" s="111"/>
      <c r="J219" s="112">
        <v>57.39</v>
      </c>
      <c r="K219" s="111"/>
      <c r="L219" s="112">
        <v>57.36</v>
      </c>
      <c r="M219" s="111"/>
      <c r="N219" s="112">
        <v>57.36</v>
      </c>
      <c r="O219" s="111"/>
      <c r="P219" s="112">
        <v>1299.47</v>
      </c>
      <c r="Q219" s="113">
        <f t="shared" si="12"/>
        <v>4.4075051298676353E-4</v>
      </c>
      <c r="R219" s="114"/>
      <c r="S219" s="115"/>
      <c r="T219" s="105"/>
    </row>
    <row r="220" spans="1:20" outlineLevel="1">
      <c r="A220" s="105"/>
      <c r="B220" s="106" t="s">
        <v>308</v>
      </c>
      <c r="C220" s="105"/>
      <c r="D220" s="107">
        <v>70175</v>
      </c>
      <c r="E220" s="107" t="s">
        <v>404</v>
      </c>
      <c r="F220" s="108"/>
      <c r="G220" s="109"/>
      <c r="H220" s="110"/>
      <c r="I220" s="111"/>
      <c r="J220" s="112">
        <v>20.47</v>
      </c>
      <c r="K220" s="111"/>
      <c r="L220" s="112">
        <v>233.35</v>
      </c>
      <c r="M220" s="111"/>
      <c r="N220" s="112">
        <v>684.49</v>
      </c>
      <c r="O220" s="111"/>
      <c r="P220" s="112">
        <v>2350.9299999999998</v>
      </c>
      <c r="Q220" s="113">
        <f t="shared" si="12"/>
        <v>7.9738170446102792E-4</v>
      </c>
      <c r="R220" s="114"/>
      <c r="S220" s="115"/>
      <c r="T220" s="105"/>
    </row>
    <row r="221" spans="1:20" outlineLevel="1">
      <c r="A221" s="105"/>
      <c r="B221" s="106" t="s">
        <v>308</v>
      </c>
      <c r="C221" s="105"/>
      <c r="D221" s="107">
        <v>70185</v>
      </c>
      <c r="E221" s="107" t="s">
        <v>405</v>
      </c>
      <c r="F221" s="108"/>
      <c r="G221" s="109"/>
      <c r="H221" s="110"/>
      <c r="I221" s="111"/>
      <c r="J221" s="112">
        <v>7.32</v>
      </c>
      <c r="K221" s="111"/>
      <c r="L221" s="112">
        <v>9.52</v>
      </c>
      <c r="M221" s="111"/>
      <c r="N221" s="112">
        <v>18.87</v>
      </c>
      <c r="O221" s="111"/>
      <c r="P221" s="112">
        <v>444.83</v>
      </c>
      <c r="Q221" s="113">
        <f t="shared" si="12"/>
        <v>1.5087616543044626E-4</v>
      </c>
      <c r="R221" s="114"/>
      <c r="S221" s="115"/>
      <c r="T221" s="105"/>
    </row>
    <row r="222" spans="1:20" outlineLevel="1">
      <c r="A222" s="105"/>
      <c r="B222" s="106" t="s">
        <v>308</v>
      </c>
      <c r="C222" s="105"/>
      <c r="D222" s="107">
        <v>70195</v>
      </c>
      <c r="E222" s="107" t="s">
        <v>406</v>
      </c>
      <c r="F222" s="108"/>
      <c r="G222" s="109"/>
      <c r="H222" s="110"/>
      <c r="I222" s="111"/>
      <c r="J222" s="112">
        <v>95.47</v>
      </c>
      <c r="K222" s="111"/>
      <c r="L222" s="112">
        <v>95.47</v>
      </c>
      <c r="M222" s="111"/>
      <c r="N222" s="112">
        <v>1649.7</v>
      </c>
      <c r="O222" s="111"/>
      <c r="P222" s="112">
        <v>3434.87</v>
      </c>
      <c r="Q222" s="113">
        <f t="shared" si="12"/>
        <v>1.1650293693142931E-3</v>
      </c>
      <c r="R222" s="114"/>
      <c r="S222" s="115"/>
      <c r="T222" s="105"/>
    </row>
    <row r="223" spans="1:20" outlineLevel="1">
      <c r="A223" s="105"/>
      <c r="B223" s="106" t="s">
        <v>308</v>
      </c>
      <c r="C223" s="105"/>
      <c r="D223" s="107">
        <v>70200</v>
      </c>
      <c r="E223" s="107" t="s">
        <v>407</v>
      </c>
      <c r="F223" s="108"/>
      <c r="G223" s="109"/>
      <c r="H223" s="110"/>
      <c r="I223" s="111"/>
      <c r="J223" s="112">
        <v>395.2</v>
      </c>
      <c r="K223" s="111"/>
      <c r="L223" s="112">
        <v>170.2</v>
      </c>
      <c r="M223" s="111"/>
      <c r="N223" s="112">
        <v>15</v>
      </c>
      <c r="O223" s="111"/>
      <c r="P223" s="112">
        <v>2261.63</v>
      </c>
      <c r="Q223" s="113">
        <f t="shared" si="12"/>
        <v>7.6709318621149701E-4</v>
      </c>
      <c r="R223" s="114"/>
      <c r="S223" s="115"/>
      <c r="T223" s="105"/>
    </row>
    <row r="224" spans="1:20" outlineLevel="1">
      <c r="A224" s="105"/>
      <c r="B224" s="106" t="s">
        <v>308</v>
      </c>
      <c r="C224" s="105"/>
      <c r="D224" s="107">
        <v>70201</v>
      </c>
      <c r="E224" s="107" t="s">
        <v>408</v>
      </c>
      <c r="F224" s="108"/>
      <c r="G224" s="109"/>
      <c r="H224" s="110"/>
      <c r="I224" s="111"/>
      <c r="J224" s="112">
        <v>103.95</v>
      </c>
      <c r="K224" s="111"/>
      <c r="L224" s="112">
        <v>0</v>
      </c>
      <c r="M224" s="111"/>
      <c r="N224" s="112">
        <v>23.54</v>
      </c>
      <c r="O224" s="111"/>
      <c r="P224" s="112">
        <v>528.08000000000004</v>
      </c>
      <c r="Q224" s="113">
        <f t="shared" si="12"/>
        <v>1.7911266200685674E-4</v>
      </c>
      <c r="R224" s="114"/>
      <c r="S224" s="115"/>
      <c r="T224" s="105"/>
    </row>
    <row r="225" spans="1:20" outlineLevel="1">
      <c r="A225" s="105"/>
      <c r="B225" s="106" t="s">
        <v>308</v>
      </c>
      <c r="C225" s="105"/>
      <c r="D225" s="107">
        <v>70202</v>
      </c>
      <c r="E225" s="107" t="s">
        <v>546</v>
      </c>
      <c r="F225" s="108"/>
      <c r="G225" s="109"/>
      <c r="H225" s="110"/>
      <c r="I225" s="111"/>
      <c r="J225" s="112">
        <v>190.2</v>
      </c>
      <c r="K225" s="111"/>
      <c r="L225" s="112">
        <v>0</v>
      </c>
      <c r="M225" s="111"/>
      <c r="N225" s="112">
        <v>0</v>
      </c>
      <c r="O225" s="111"/>
      <c r="P225" s="112">
        <v>1511.89</v>
      </c>
      <c r="Q225" s="113">
        <f t="shared" si="12"/>
        <v>5.1279852022713716E-4</v>
      </c>
      <c r="R225" s="114"/>
      <c r="S225" s="115"/>
      <c r="T225" s="105"/>
    </row>
    <row r="226" spans="1:20" outlineLevel="1">
      <c r="A226" s="105"/>
      <c r="B226" s="106" t="s">
        <v>308</v>
      </c>
      <c r="C226" s="105"/>
      <c r="D226" s="107">
        <v>70203</v>
      </c>
      <c r="E226" s="107" t="s">
        <v>409</v>
      </c>
      <c r="F226" s="108"/>
      <c r="G226" s="109"/>
      <c r="H226" s="110"/>
      <c r="I226" s="111"/>
      <c r="J226" s="112">
        <v>333.28</v>
      </c>
      <c r="K226" s="111"/>
      <c r="L226" s="112">
        <v>123.44</v>
      </c>
      <c r="M226" s="111"/>
      <c r="N226" s="112">
        <v>266.29000000000002</v>
      </c>
      <c r="O226" s="111"/>
      <c r="P226" s="112">
        <v>3516.49</v>
      </c>
      <c r="Q226" s="113">
        <f t="shared" si="12"/>
        <v>1.192713007158937E-3</v>
      </c>
      <c r="R226" s="114"/>
      <c r="S226" s="115"/>
      <c r="T226" s="105"/>
    </row>
    <row r="227" spans="1:20" outlineLevel="1">
      <c r="A227" s="105"/>
      <c r="B227" s="106" t="s">
        <v>308</v>
      </c>
      <c r="C227" s="105"/>
      <c r="D227" s="107">
        <v>70205</v>
      </c>
      <c r="E227" s="107" t="s">
        <v>410</v>
      </c>
      <c r="F227" s="108"/>
      <c r="G227" s="109"/>
      <c r="H227" s="110"/>
      <c r="I227" s="111"/>
      <c r="J227" s="112">
        <v>609.44000000000005</v>
      </c>
      <c r="K227" s="111"/>
      <c r="L227" s="112">
        <v>368</v>
      </c>
      <c r="M227" s="111"/>
      <c r="N227" s="112">
        <v>489.77</v>
      </c>
      <c r="O227" s="111"/>
      <c r="P227" s="112">
        <v>4568.12</v>
      </c>
      <c r="Q227" s="113">
        <f t="shared" si="12"/>
        <v>1.5494018587463307E-3</v>
      </c>
      <c r="R227" s="114"/>
      <c r="S227" s="115"/>
      <c r="T227" s="105"/>
    </row>
    <row r="228" spans="1:20" outlineLevel="1">
      <c r="A228" s="105"/>
      <c r="B228" s="106" t="s">
        <v>308</v>
      </c>
      <c r="C228" s="105"/>
      <c r="D228" s="107">
        <v>70206</v>
      </c>
      <c r="E228" s="107" t="s">
        <v>411</v>
      </c>
      <c r="F228" s="108"/>
      <c r="G228" s="109"/>
      <c r="H228" s="110"/>
      <c r="I228" s="111"/>
      <c r="J228" s="112">
        <v>136.9</v>
      </c>
      <c r="K228" s="111"/>
      <c r="L228" s="112">
        <v>62.65</v>
      </c>
      <c r="M228" s="111"/>
      <c r="N228" s="112">
        <v>179.14</v>
      </c>
      <c r="O228" s="111"/>
      <c r="P228" s="112">
        <v>1315.72</v>
      </c>
      <c r="Q228" s="113">
        <f t="shared" si="12"/>
        <v>4.4626214144762445E-4</v>
      </c>
      <c r="R228" s="114"/>
      <c r="S228" s="115"/>
      <c r="T228" s="105"/>
    </row>
    <row r="229" spans="1:20" outlineLevel="1">
      <c r="A229" s="105"/>
      <c r="B229" s="106" t="s">
        <v>308</v>
      </c>
      <c r="C229" s="105"/>
      <c r="D229" s="107">
        <v>70210</v>
      </c>
      <c r="E229" s="107" t="s">
        <v>412</v>
      </c>
      <c r="F229" s="108"/>
      <c r="G229" s="109"/>
      <c r="H229" s="110"/>
      <c r="I229" s="111"/>
      <c r="J229" s="112">
        <v>652.19000000000005</v>
      </c>
      <c r="K229" s="111"/>
      <c r="L229" s="112">
        <v>1271.53</v>
      </c>
      <c r="M229" s="111"/>
      <c r="N229" s="112">
        <v>494.53</v>
      </c>
      <c r="O229" s="111"/>
      <c r="P229" s="112">
        <v>7176.12</v>
      </c>
      <c r="Q229" s="113">
        <f t="shared" si="12"/>
        <v>2.4339758295724976E-3</v>
      </c>
      <c r="R229" s="114"/>
      <c r="S229" s="115"/>
      <c r="T229" s="105"/>
    </row>
    <row r="230" spans="1:20" outlineLevel="1">
      <c r="A230" s="105"/>
      <c r="B230" s="106" t="s">
        <v>308</v>
      </c>
      <c r="C230" s="105"/>
      <c r="D230" s="107">
        <v>70214</v>
      </c>
      <c r="E230" s="107" t="s">
        <v>413</v>
      </c>
      <c r="F230" s="108"/>
      <c r="G230" s="109"/>
      <c r="H230" s="110"/>
      <c r="I230" s="111"/>
      <c r="J230" s="112">
        <v>452.08</v>
      </c>
      <c r="K230" s="111"/>
      <c r="L230" s="112">
        <v>397.26</v>
      </c>
      <c r="M230" s="111"/>
      <c r="N230" s="112">
        <v>415.47</v>
      </c>
      <c r="O230" s="111"/>
      <c r="P230" s="112">
        <v>4706.75</v>
      </c>
      <c r="Q230" s="113">
        <f t="shared" si="12"/>
        <v>1.5964219851173551E-3</v>
      </c>
      <c r="R230" s="114"/>
      <c r="S230" s="115"/>
      <c r="T230" s="105"/>
    </row>
    <row r="231" spans="1:20" outlineLevel="1">
      <c r="A231" s="105"/>
      <c r="B231" s="106" t="s">
        <v>308</v>
      </c>
      <c r="C231" s="105"/>
      <c r="D231" s="107">
        <v>70215</v>
      </c>
      <c r="E231" s="107" t="s">
        <v>547</v>
      </c>
      <c r="F231" s="108"/>
      <c r="G231" s="109"/>
      <c r="H231" s="110"/>
      <c r="I231" s="111"/>
      <c r="J231" s="112">
        <v>0</v>
      </c>
      <c r="K231" s="111"/>
      <c r="L231" s="112">
        <v>0</v>
      </c>
      <c r="M231" s="111"/>
      <c r="N231" s="112">
        <v>57.5</v>
      </c>
      <c r="O231" s="111"/>
      <c r="P231" s="112">
        <v>-84.74</v>
      </c>
      <c r="Q231" s="113">
        <f t="shared" si="12"/>
        <v>-2.8741870509129368E-5</v>
      </c>
      <c r="R231" s="114"/>
      <c r="S231" s="115"/>
      <c r="T231" s="105"/>
    </row>
    <row r="232" spans="1:20" outlineLevel="1">
      <c r="A232" s="105"/>
      <c r="B232" s="106" t="s">
        <v>308</v>
      </c>
      <c r="C232" s="105"/>
      <c r="D232" s="107">
        <v>70225</v>
      </c>
      <c r="E232" s="107" t="s">
        <v>398</v>
      </c>
      <c r="F232" s="108"/>
      <c r="G232" s="109"/>
      <c r="H232" s="110"/>
      <c r="I232" s="111"/>
      <c r="J232" s="112">
        <v>0</v>
      </c>
      <c r="K232" s="111"/>
      <c r="L232" s="112">
        <v>0</v>
      </c>
      <c r="M232" s="111"/>
      <c r="N232" s="112">
        <v>0</v>
      </c>
      <c r="O232" s="111"/>
      <c r="P232" s="112">
        <v>400</v>
      </c>
      <c r="Q232" s="113">
        <f t="shared" si="12"/>
        <v>1.3567085442119128E-4</v>
      </c>
      <c r="R232" s="114"/>
      <c r="S232" s="115"/>
      <c r="T232" s="105"/>
    </row>
    <row r="233" spans="1:20" outlineLevel="1">
      <c r="A233" s="105"/>
      <c r="B233" s="106" t="s">
        <v>308</v>
      </c>
      <c r="C233" s="105"/>
      <c r="D233" s="107">
        <v>70231</v>
      </c>
      <c r="E233" s="107" t="s">
        <v>548</v>
      </c>
      <c r="F233" s="108"/>
      <c r="G233" s="109"/>
      <c r="H233" s="110"/>
      <c r="I233" s="111"/>
      <c r="J233" s="112">
        <v>0</v>
      </c>
      <c r="K233" s="111"/>
      <c r="L233" s="112">
        <v>0</v>
      </c>
      <c r="M233" s="111"/>
      <c r="N233" s="112">
        <v>0</v>
      </c>
      <c r="O233" s="111"/>
      <c r="P233" s="112">
        <v>66.34</v>
      </c>
      <c r="Q233" s="113">
        <f t="shared" si="12"/>
        <v>2.2501011205754573E-5</v>
      </c>
      <c r="R233" s="114"/>
      <c r="S233" s="115"/>
      <c r="T233" s="105"/>
    </row>
    <row r="234" spans="1:20" outlineLevel="1">
      <c r="A234" s="105"/>
      <c r="B234" s="106" t="s">
        <v>308</v>
      </c>
      <c r="C234" s="105"/>
      <c r="D234" s="107">
        <v>70245</v>
      </c>
      <c r="E234" s="107" t="s">
        <v>414</v>
      </c>
      <c r="F234" s="108"/>
      <c r="G234" s="109"/>
      <c r="H234" s="110"/>
      <c r="I234" s="111"/>
      <c r="J234" s="112">
        <v>51.4</v>
      </c>
      <c r="K234" s="111"/>
      <c r="L234" s="112">
        <v>51.4</v>
      </c>
      <c r="M234" s="111"/>
      <c r="N234" s="112">
        <v>51.27</v>
      </c>
      <c r="O234" s="111"/>
      <c r="P234" s="112">
        <v>582.42999999999995</v>
      </c>
      <c r="Q234" s="113">
        <f t="shared" si="12"/>
        <v>1.9754693935133605E-4</v>
      </c>
      <c r="R234" s="114"/>
      <c r="S234" s="115"/>
      <c r="T234" s="105"/>
    </row>
    <row r="235" spans="1:20" outlineLevel="1">
      <c r="A235" s="105"/>
      <c r="B235" s="106" t="s">
        <v>308</v>
      </c>
      <c r="C235" s="105"/>
      <c r="D235" s="107">
        <v>70255</v>
      </c>
      <c r="E235" s="107" t="s">
        <v>380</v>
      </c>
      <c r="F235" s="108"/>
      <c r="G235" s="109"/>
      <c r="H235" s="110"/>
      <c r="I235" s="111"/>
      <c r="J235" s="112">
        <v>0</v>
      </c>
      <c r="K235" s="111"/>
      <c r="L235" s="112">
        <v>13.04</v>
      </c>
      <c r="M235" s="111"/>
      <c r="N235" s="112">
        <v>5.6</v>
      </c>
      <c r="O235" s="111"/>
      <c r="P235" s="112">
        <v>1223.42</v>
      </c>
      <c r="Q235" s="113">
        <f t="shared" si="12"/>
        <v>4.1495609178993456E-4</v>
      </c>
      <c r="R235" s="114"/>
      <c r="S235" s="115"/>
      <c r="T235" s="105"/>
    </row>
    <row r="236" spans="1:20" outlineLevel="1">
      <c r="A236" s="105"/>
      <c r="B236" s="106" t="s">
        <v>308</v>
      </c>
      <c r="C236" s="105"/>
      <c r="D236" s="107">
        <v>70300</v>
      </c>
      <c r="E236" s="107" t="s">
        <v>415</v>
      </c>
      <c r="F236" s="108"/>
      <c r="G236" s="109"/>
      <c r="H236" s="110"/>
      <c r="I236" s="111"/>
      <c r="J236" s="112">
        <v>1438.72</v>
      </c>
      <c r="K236" s="111"/>
      <c r="L236" s="112">
        <v>1438.72</v>
      </c>
      <c r="M236" s="111"/>
      <c r="N236" s="112">
        <v>1438.72</v>
      </c>
      <c r="O236" s="111"/>
      <c r="P236" s="112">
        <v>17264.64</v>
      </c>
      <c r="Q236" s="113">
        <f t="shared" si="12"/>
        <v>5.8557711501856886E-3</v>
      </c>
      <c r="R236" s="114"/>
      <c r="S236" s="115"/>
      <c r="T236" s="105"/>
    </row>
    <row r="237" spans="1:20" outlineLevel="1">
      <c r="A237" s="105"/>
      <c r="B237" s="106" t="s">
        <v>308</v>
      </c>
      <c r="C237" s="105"/>
      <c r="D237" s="107">
        <v>70301</v>
      </c>
      <c r="E237" s="107" t="s">
        <v>549</v>
      </c>
      <c r="F237" s="108"/>
      <c r="G237" s="109"/>
      <c r="H237" s="110"/>
      <c r="I237" s="111"/>
      <c r="J237" s="112">
        <v>0</v>
      </c>
      <c r="K237" s="111"/>
      <c r="L237" s="112">
        <v>0</v>
      </c>
      <c r="M237" s="111"/>
      <c r="N237" s="112">
        <v>0</v>
      </c>
      <c r="O237" s="111"/>
      <c r="P237" s="112">
        <v>907.68</v>
      </c>
      <c r="Q237" s="113">
        <f t="shared" si="12"/>
        <v>3.0786430285256722E-4</v>
      </c>
      <c r="R237" s="114"/>
      <c r="S237" s="115"/>
      <c r="T237" s="105"/>
    </row>
    <row r="238" spans="1:20" outlineLevel="1">
      <c r="A238" s="105"/>
      <c r="B238" s="106" t="s">
        <v>308</v>
      </c>
      <c r="C238" s="105"/>
      <c r="D238" s="107">
        <v>70302</v>
      </c>
      <c r="E238" s="107" t="s">
        <v>550</v>
      </c>
      <c r="F238" s="108"/>
      <c r="G238" s="109"/>
      <c r="H238" s="110"/>
      <c r="I238" s="111"/>
      <c r="J238" s="112">
        <v>0</v>
      </c>
      <c r="K238" s="111"/>
      <c r="L238" s="112">
        <v>0</v>
      </c>
      <c r="M238" s="111"/>
      <c r="N238" s="112">
        <v>0</v>
      </c>
      <c r="O238" s="111"/>
      <c r="P238" s="112">
        <v>0</v>
      </c>
      <c r="Q238" s="113">
        <f t="shared" si="12"/>
        <v>0</v>
      </c>
      <c r="R238" s="114"/>
      <c r="S238" s="115"/>
      <c r="T238" s="105"/>
    </row>
    <row r="239" spans="1:20" outlineLevel="1">
      <c r="A239" s="105"/>
      <c r="B239" s="106" t="s">
        <v>308</v>
      </c>
      <c r="C239" s="105"/>
      <c r="D239" s="107">
        <v>70310</v>
      </c>
      <c r="E239" s="107" t="s">
        <v>416</v>
      </c>
      <c r="F239" s="108"/>
      <c r="G239" s="109"/>
      <c r="H239" s="110"/>
      <c r="I239" s="111"/>
      <c r="J239" s="112">
        <v>791.33</v>
      </c>
      <c r="K239" s="111"/>
      <c r="L239" s="112">
        <v>-369.4</v>
      </c>
      <c r="M239" s="111"/>
      <c r="N239" s="112">
        <v>1971.46</v>
      </c>
      <c r="O239" s="111"/>
      <c r="P239" s="112">
        <v>14156.15</v>
      </c>
      <c r="Q239" s="113">
        <f t="shared" si="12"/>
        <v>4.8014424145363666E-3</v>
      </c>
      <c r="R239" s="114"/>
      <c r="S239" s="115"/>
      <c r="T239" s="105"/>
    </row>
    <row r="240" spans="1:20" outlineLevel="1">
      <c r="A240" s="105"/>
      <c r="B240" s="106" t="s">
        <v>308</v>
      </c>
      <c r="C240" s="105"/>
      <c r="D240" s="107">
        <v>70320</v>
      </c>
      <c r="E240" s="107" t="s">
        <v>417</v>
      </c>
      <c r="F240" s="108"/>
      <c r="G240" s="109"/>
      <c r="H240" s="110"/>
      <c r="I240" s="111"/>
      <c r="J240" s="112">
        <v>138.75</v>
      </c>
      <c r="K240" s="111"/>
      <c r="L240" s="112">
        <v>211.25</v>
      </c>
      <c r="M240" s="111"/>
      <c r="N240" s="112">
        <v>146.57</v>
      </c>
      <c r="O240" s="111"/>
      <c r="P240" s="112">
        <v>2035.65</v>
      </c>
      <c r="Q240" s="113">
        <f t="shared" si="12"/>
        <v>6.9044593700624509E-4</v>
      </c>
      <c r="R240" s="114"/>
      <c r="S240" s="115"/>
      <c r="T240" s="105"/>
    </row>
    <row r="241" spans="1:20" outlineLevel="1">
      <c r="A241" s="105"/>
      <c r="B241" s="106" t="s">
        <v>308</v>
      </c>
      <c r="C241" s="105"/>
      <c r="D241" s="107">
        <v>70335</v>
      </c>
      <c r="E241" s="107" t="s">
        <v>418</v>
      </c>
      <c r="F241" s="108"/>
      <c r="G241" s="109"/>
      <c r="H241" s="110"/>
      <c r="I241" s="111"/>
      <c r="J241" s="112">
        <v>0</v>
      </c>
      <c r="K241" s="111"/>
      <c r="L241" s="112">
        <v>0</v>
      </c>
      <c r="M241" s="111"/>
      <c r="N241" s="112">
        <v>0</v>
      </c>
      <c r="O241" s="111"/>
      <c r="P241" s="112">
        <v>0</v>
      </c>
      <c r="Q241" s="113">
        <f t="shared" si="12"/>
        <v>0</v>
      </c>
      <c r="R241" s="114"/>
      <c r="S241" s="115"/>
      <c r="T241" s="105"/>
    </row>
    <row r="242" spans="1:20" outlineLevel="1">
      <c r="A242" s="105"/>
      <c r="B242" s="106" t="s">
        <v>308</v>
      </c>
      <c r="C242" s="105"/>
      <c r="D242" s="107">
        <v>70336</v>
      </c>
      <c r="E242" s="107" t="s">
        <v>551</v>
      </c>
      <c r="F242" s="108"/>
      <c r="G242" s="109"/>
      <c r="H242" s="110"/>
      <c r="I242" s="111"/>
      <c r="J242" s="112">
        <v>124.48</v>
      </c>
      <c r="K242" s="111"/>
      <c r="L242" s="112">
        <v>49.85</v>
      </c>
      <c r="M242" s="111"/>
      <c r="N242" s="112">
        <v>49.77</v>
      </c>
      <c r="O242" s="111"/>
      <c r="P242" s="112">
        <v>587.49</v>
      </c>
      <c r="Q242" s="113">
        <f t="shared" si="12"/>
        <v>1.9926317565976414E-4</v>
      </c>
      <c r="R242" s="114"/>
      <c r="S242" s="115"/>
      <c r="T242" s="105"/>
    </row>
    <row r="243" spans="1:20" outlineLevel="1">
      <c r="A243" s="105"/>
      <c r="B243" s="106" t="s">
        <v>308</v>
      </c>
      <c r="C243" s="105"/>
      <c r="D243" s="107">
        <v>70357</v>
      </c>
      <c r="E243" s="107" t="s">
        <v>383</v>
      </c>
      <c r="F243" s="108"/>
      <c r="G243" s="109"/>
      <c r="H243" s="110"/>
      <c r="I243" s="111"/>
      <c r="J243" s="112">
        <v>0</v>
      </c>
      <c r="K243" s="111"/>
      <c r="L243" s="112">
        <v>0</v>
      </c>
      <c r="M243" s="111"/>
      <c r="N243" s="112">
        <v>0</v>
      </c>
      <c r="O243" s="111"/>
      <c r="P243" s="112">
        <v>0</v>
      </c>
      <c r="Q243" s="113">
        <f t="shared" si="12"/>
        <v>0</v>
      </c>
      <c r="R243" s="114"/>
      <c r="S243" s="115"/>
      <c r="T243" s="105"/>
    </row>
    <row r="244" spans="1:20" s="65" customFormat="1" ht="5.0999999999999996" customHeight="1" outlineLevel="1">
      <c r="A244" s="140" t="s">
        <v>301</v>
      </c>
      <c r="B244" s="140" t="s">
        <v>301</v>
      </c>
      <c r="C244" s="110"/>
      <c r="D244" s="108"/>
      <c r="E244" s="108"/>
      <c r="F244" s="108"/>
      <c r="G244" s="108"/>
      <c r="H244" s="110"/>
      <c r="I244" s="110"/>
      <c r="J244" s="143"/>
      <c r="K244" s="142"/>
      <c r="L244" s="143"/>
      <c r="M244" s="142"/>
      <c r="N244" s="143"/>
      <c r="O244" s="142"/>
      <c r="P244" s="143"/>
      <c r="Q244" s="137"/>
      <c r="R244" s="120"/>
      <c r="S244" s="120"/>
      <c r="T244" s="110"/>
    </row>
    <row r="245" spans="1:20" s="65" customFormat="1">
      <c r="A245" s="140" t="s">
        <v>400</v>
      </c>
      <c r="B245" s="140" t="s">
        <v>301</v>
      </c>
      <c r="C245" s="110"/>
      <c r="D245" s="110"/>
      <c r="E245" s="110"/>
      <c r="F245" s="108" t="s">
        <v>419</v>
      </c>
      <c r="G245" s="110"/>
      <c r="H245" s="110"/>
      <c r="I245" s="110"/>
      <c r="J245" s="141">
        <f>SUM(J201:J244)</f>
        <v>20042.900000000005</v>
      </c>
      <c r="K245" s="142"/>
      <c r="L245" s="141">
        <f>SUM(L201:L244)</f>
        <v>21916.03</v>
      </c>
      <c r="M245" s="142"/>
      <c r="N245" s="141">
        <f>SUM(N201:N244)</f>
        <v>25749.440000000006</v>
      </c>
      <c r="O245" s="142"/>
      <c r="P245" s="141">
        <f>SUM(P201:P244)</f>
        <v>293779.96000000002</v>
      </c>
      <c r="Q245" s="113">
        <f>IF(P$57=0,0,P245/P$57)</f>
        <v>9.9643445462558489E-2</v>
      </c>
      <c r="R245" s="120"/>
      <c r="S245" s="120"/>
      <c r="T245" s="110"/>
    </row>
    <row r="246" spans="1:20" s="65" customFormat="1" outlineLevel="1">
      <c r="A246" s="140" t="s">
        <v>301</v>
      </c>
      <c r="B246" s="140" t="s">
        <v>301</v>
      </c>
      <c r="C246" s="110"/>
      <c r="D246" s="110"/>
      <c r="E246" s="110"/>
      <c r="F246" s="110"/>
      <c r="G246" s="110"/>
      <c r="H246" s="110"/>
      <c r="I246" s="110"/>
      <c r="J246" s="142"/>
      <c r="K246" s="142"/>
      <c r="L246" s="142"/>
      <c r="M246" s="142"/>
      <c r="N246" s="142"/>
      <c r="O246" s="142"/>
      <c r="P246" s="142"/>
      <c r="Q246" s="137"/>
      <c r="R246" s="120"/>
      <c r="S246" s="120"/>
      <c r="T246" s="110"/>
    </row>
    <row r="247" spans="1:20" outlineLevel="1">
      <c r="A247" s="105"/>
      <c r="B247" s="106" t="s">
        <v>420</v>
      </c>
      <c r="C247" s="105"/>
      <c r="D247" s="107">
        <v>70149</v>
      </c>
      <c r="E247" s="107" t="s">
        <v>421</v>
      </c>
      <c r="F247" s="108"/>
      <c r="G247" s="109"/>
      <c r="H247" s="110"/>
      <c r="I247" s="111"/>
      <c r="J247" s="112">
        <v>8515.7900000000009</v>
      </c>
      <c r="K247" s="111"/>
      <c r="L247" s="112">
        <v>8477.18</v>
      </c>
      <c r="M247" s="111"/>
      <c r="N247" s="112">
        <v>8430.81</v>
      </c>
      <c r="O247" s="111"/>
      <c r="P247" s="112">
        <v>100301.86</v>
      </c>
      <c r="Q247" s="113">
        <f>IF(P$57=0,0,P247/P$57)</f>
        <v>3.4020097615586768E-2</v>
      </c>
      <c r="R247" s="114"/>
      <c r="S247" s="115"/>
      <c r="T247" s="105"/>
    </row>
    <row r="248" spans="1:20" s="65" customFormat="1" ht="5.0999999999999996" customHeight="1" outlineLevel="1">
      <c r="A248" s="140" t="s">
        <v>301</v>
      </c>
      <c r="B248" s="140" t="s">
        <v>301</v>
      </c>
      <c r="C248" s="110"/>
      <c r="D248" s="108"/>
      <c r="E248" s="108"/>
      <c r="F248" s="108"/>
      <c r="G248" s="108"/>
      <c r="H248" s="110"/>
      <c r="I248" s="110"/>
      <c r="J248" s="143"/>
      <c r="K248" s="142"/>
      <c r="L248" s="143"/>
      <c r="M248" s="142"/>
      <c r="N248" s="143"/>
      <c r="O248" s="142"/>
      <c r="P248" s="143"/>
      <c r="Q248" s="137"/>
      <c r="R248" s="120"/>
      <c r="S248" s="120"/>
      <c r="T248" s="110"/>
    </row>
    <row r="249" spans="1:20" s="65" customFormat="1">
      <c r="A249" s="140" t="s">
        <v>420</v>
      </c>
      <c r="B249" s="140" t="s">
        <v>301</v>
      </c>
      <c r="C249" s="110"/>
      <c r="D249" s="110"/>
      <c r="E249" s="110"/>
      <c r="F249" s="107" t="s">
        <v>422</v>
      </c>
      <c r="G249" s="110"/>
      <c r="H249" s="110"/>
      <c r="I249" s="110"/>
      <c r="J249" s="141">
        <f>SUM(J246:J248)</f>
        <v>8515.7900000000009</v>
      </c>
      <c r="K249" s="142"/>
      <c r="L249" s="141">
        <f>SUM(L246:L248)</f>
        <v>8477.18</v>
      </c>
      <c r="M249" s="142"/>
      <c r="N249" s="141">
        <f>SUM(N246:N248)</f>
        <v>8430.81</v>
      </c>
      <c r="O249" s="142"/>
      <c r="P249" s="141">
        <f>SUM(P246:P248)</f>
        <v>100301.86</v>
      </c>
      <c r="Q249" s="113">
        <f>IF(P$57=0,0,P249/P$57)</f>
        <v>3.4020097615586768E-2</v>
      </c>
      <c r="R249" s="120"/>
      <c r="S249" s="120"/>
      <c r="T249" s="110"/>
    </row>
    <row r="250" spans="1:20" s="65" customFormat="1" ht="7.5" customHeight="1">
      <c r="A250" s="140" t="s">
        <v>301</v>
      </c>
      <c r="B250" s="140"/>
      <c r="C250" s="110"/>
      <c r="D250" s="110"/>
      <c r="E250" s="110"/>
      <c r="F250" s="110"/>
      <c r="G250" s="110"/>
      <c r="H250" s="110"/>
      <c r="I250" s="110"/>
      <c r="J250" s="142"/>
      <c r="K250" s="142"/>
      <c r="L250" s="142"/>
      <c r="M250" s="142"/>
      <c r="N250" s="142"/>
      <c r="O250" s="142"/>
      <c r="P250" s="142"/>
      <c r="Q250" s="137"/>
      <c r="R250" s="120"/>
      <c r="S250" s="120"/>
      <c r="T250" s="110"/>
    </row>
    <row r="251" spans="1:20" s="65" customFormat="1">
      <c r="A251" s="140" t="s">
        <v>301</v>
      </c>
      <c r="B251" s="140"/>
      <c r="C251" s="110"/>
      <c r="D251" s="110"/>
      <c r="E251" s="145" t="s">
        <v>423</v>
      </c>
      <c r="F251" s="110"/>
      <c r="G251" s="110"/>
      <c r="H251" s="110"/>
      <c r="I251" s="110"/>
      <c r="J251" s="146">
        <f>+J199+J245+J249</f>
        <v>28558.690000000006</v>
      </c>
      <c r="K251" s="142"/>
      <c r="L251" s="146">
        <f>+L199+L245+L249</f>
        <v>30393.21</v>
      </c>
      <c r="M251" s="142"/>
      <c r="N251" s="146">
        <f>+N199+N245+N249</f>
        <v>34180.250000000007</v>
      </c>
      <c r="O251" s="142"/>
      <c r="P251" s="146">
        <f>+P199+P245+P249</f>
        <v>394181.82</v>
      </c>
      <c r="Q251" s="113">
        <f>IF(P$57=0,0,P251/P$57)</f>
        <v>0.13369746079175054</v>
      </c>
      <c r="R251" s="120"/>
      <c r="S251" s="120"/>
      <c r="T251" s="110"/>
    </row>
    <row r="252" spans="1:20" s="65" customFormat="1" ht="7.5" customHeight="1">
      <c r="A252" s="140"/>
      <c r="B252" s="140"/>
      <c r="C252" s="110"/>
      <c r="D252" s="110"/>
      <c r="E252" s="110"/>
      <c r="F252" s="110"/>
      <c r="G252" s="110"/>
      <c r="H252" s="110"/>
      <c r="I252" s="110"/>
      <c r="J252" s="142"/>
      <c r="K252" s="142"/>
      <c r="L252" s="142"/>
      <c r="M252" s="142"/>
      <c r="N252" s="142"/>
      <c r="O252" s="142"/>
      <c r="P252" s="142"/>
      <c r="Q252" s="137"/>
      <c r="R252" s="120"/>
      <c r="S252" s="120"/>
      <c r="T252" s="110"/>
    </row>
    <row r="253" spans="1:20" s="65" customFormat="1" ht="7.5" customHeight="1">
      <c r="A253" s="140"/>
      <c r="B253" s="140" t="s">
        <v>301</v>
      </c>
      <c r="C253" s="110"/>
      <c r="D253" s="151"/>
      <c r="E253" s="151"/>
      <c r="F253" s="151"/>
      <c r="G253" s="151"/>
      <c r="H253" s="151"/>
      <c r="I253" s="151"/>
      <c r="J253" s="152"/>
      <c r="K253" s="142"/>
      <c r="L253" s="152"/>
      <c r="M253" s="142"/>
      <c r="N253" s="152"/>
      <c r="O253" s="142"/>
      <c r="P253" s="152"/>
      <c r="Q253" s="137"/>
      <c r="R253" s="120"/>
      <c r="S253" s="120"/>
      <c r="T253" s="110"/>
    </row>
    <row r="254" spans="1:20" s="65" customFormat="1">
      <c r="A254" s="140"/>
      <c r="B254" s="140" t="s">
        <v>301</v>
      </c>
      <c r="C254" s="110"/>
      <c r="D254" s="110"/>
      <c r="E254" s="154" t="s">
        <v>424</v>
      </c>
      <c r="F254" s="155"/>
      <c r="G254" s="155"/>
      <c r="H254" s="155"/>
      <c r="I254" s="155"/>
      <c r="J254" s="156">
        <f>+J194-J251</f>
        <v>38617.999999999971</v>
      </c>
      <c r="K254" s="157"/>
      <c r="L254" s="156">
        <f>+L194-L251</f>
        <v>32917.599999999999</v>
      </c>
      <c r="M254" s="158"/>
      <c r="N254" s="156">
        <f>+N194-N251</f>
        <v>-24970.43</v>
      </c>
      <c r="O254" s="158"/>
      <c r="P254" s="156">
        <f>+P194-P251</f>
        <v>325571.73000000004</v>
      </c>
      <c r="Q254" s="113">
        <f>IF(P$57=0,0,P254/P$57)</f>
        <v>0.11042648696121349</v>
      </c>
      <c r="R254" s="159"/>
      <c r="S254" s="110"/>
      <c r="T254" s="110"/>
    </row>
    <row r="255" spans="1:20" s="65" customFormat="1" ht="6.75" customHeight="1">
      <c r="A255" s="140" t="s">
        <v>301</v>
      </c>
      <c r="B255" s="140" t="s">
        <v>301</v>
      </c>
      <c r="C255" s="105"/>
      <c r="D255" s="160"/>
      <c r="E255" s="160"/>
      <c r="F255" s="160"/>
      <c r="G255" s="160"/>
      <c r="H255" s="160"/>
      <c r="I255" s="160"/>
      <c r="J255" s="161"/>
      <c r="K255" s="160"/>
      <c r="L255" s="161"/>
      <c r="M255" s="162"/>
      <c r="N255" s="161"/>
      <c r="O255" s="162"/>
      <c r="P255" s="161"/>
      <c r="Q255" s="163"/>
      <c r="R255" s="120"/>
      <c r="S255" s="120"/>
      <c r="T255" s="110"/>
    </row>
    <row r="256" spans="1:20" s="65" customFormat="1">
      <c r="A256" s="140" t="s">
        <v>301</v>
      </c>
      <c r="B256" s="140" t="s">
        <v>301</v>
      </c>
      <c r="C256" s="105"/>
      <c r="D256" s="110"/>
      <c r="E256" s="164" t="s">
        <v>425</v>
      </c>
      <c r="F256" s="165"/>
      <c r="G256" s="165"/>
      <c r="H256" s="165"/>
      <c r="I256" s="165"/>
      <c r="J256" s="166">
        <f>J254 +J186+SUMIF($D:$D,52141,J:J)+SUMIF($D:$D,52142,J:J)+SUMIF($D:$D,52143,J:J)+SUMIF($D:$D,55142,J:J)+SUMIF($D:$D,56142,J:J)+SUMIF($D:$D,70142,J:J)</f>
        <v>52777.199999999968</v>
      </c>
      <c r="K256" s="165"/>
      <c r="L256" s="166">
        <f>L254 +L186+SUMIF($D:$D,52141,L:L)+SUMIF($D:$D,52142,L:L)+SUMIF($D:$D,52143,L:L)+SUMIF($D:$D,55142,L:L)+SUMIF($D:$D,56142,L:L)+SUMIF($D:$D,70142,L:L)</f>
        <v>44016.4</v>
      </c>
      <c r="M256" s="167"/>
      <c r="N256" s="166">
        <f>N254 +N186+SUMIF($D:$D,52141,N:N)+SUMIF($D:$D,52142,N:N)+SUMIF($D:$D,52143,N:N)+SUMIF($D:$D,55142,N:N)+SUMIF($D:$D,56142,N:N)+SUMIF($D:$D,70142,N:N)</f>
        <v>-12106.789999999999</v>
      </c>
      <c r="O256" s="167"/>
      <c r="P256" s="166">
        <f>P254 +P186+SUMIF($D:$D,52141,P:P)+SUMIF($D:$D,52142,P:P)+SUMIF($D:$D,52143,P:P)+SUMIF($D:$D,55142,P:P)+SUMIF($D:$D,56142,P:P)+SUMIF($D:$D,70142,P:P)</f>
        <v>486119.23000000004</v>
      </c>
      <c r="Q256" s="113">
        <f>IF(P$57=0,0,P256/P$57)</f>
        <v>0.16488052821167901</v>
      </c>
      <c r="R256" s="159"/>
      <c r="S256" s="110"/>
      <c r="T256" s="110"/>
    </row>
    <row r="257" spans="1:20" s="65" customFormat="1" ht="6.75" customHeight="1">
      <c r="A257" s="140" t="s">
        <v>301</v>
      </c>
      <c r="B257" s="140" t="s">
        <v>301</v>
      </c>
      <c r="C257" s="105"/>
      <c r="D257" s="110"/>
      <c r="E257" s="110"/>
      <c r="F257" s="110"/>
      <c r="G257" s="110"/>
      <c r="H257" s="110"/>
      <c r="I257" s="110"/>
      <c r="J257" s="142"/>
      <c r="K257" s="142"/>
      <c r="L257" s="142"/>
      <c r="M257" s="168"/>
      <c r="N257" s="142"/>
      <c r="O257" s="168"/>
      <c r="P257" s="142"/>
      <c r="Q257" s="163"/>
      <c r="R257" s="120"/>
      <c r="S257" s="110"/>
      <c r="T257" s="110"/>
    </row>
    <row r="258" spans="1:20" outlineLevel="1">
      <c r="A258" s="105"/>
      <c r="B258" s="106" t="s">
        <v>426</v>
      </c>
      <c r="C258" s="105"/>
      <c r="D258" s="107">
        <v>51260</v>
      </c>
      <c r="E258" s="107" t="s">
        <v>427</v>
      </c>
      <c r="F258" s="108"/>
      <c r="G258" s="109"/>
      <c r="H258" s="110"/>
      <c r="I258" s="111"/>
      <c r="J258" s="112">
        <v>10829.76</v>
      </c>
      <c r="K258" s="111"/>
      <c r="L258" s="112">
        <v>10829.74</v>
      </c>
      <c r="M258" s="111"/>
      <c r="N258" s="112">
        <v>10829.76</v>
      </c>
      <c r="O258" s="111"/>
      <c r="P258" s="112">
        <v>98259.51</v>
      </c>
      <c r="Q258" s="113">
        <f t="shared" ref="Q258:Q261" si="13">IF(P$57=0,0,P258/P$57)</f>
        <v>3.3327379191768966E-2</v>
      </c>
      <c r="R258" s="114"/>
      <c r="S258" s="115"/>
      <c r="T258" s="105"/>
    </row>
    <row r="259" spans="1:20" outlineLevel="1">
      <c r="A259" s="105"/>
      <c r="B259" s="106" t="s">
        <v>308</v>
      </c>
      <c r="C259" s="105"/>
      <c r="D259" s="107">
        <v>54260</v>
      </c>
      <c r="E259" s="107" t="s">
        <v>427</v>
      </c>
      <c r="F259" s="108"/>
      <c r="G259" s="109"/>
      <c r="H259" s="110"/>
      <c r="I259" s="111"/>
      <c r="J259" s="112">
        <v>2628.72</v>
      </c>
      <c r="K259" s="111"/>
      <c r="L259" s="112">
        <v>2858.92</v>
      </c>
      <c r="M259" s="111"/>
      <c r="N259" s="112">
        <v>2858.86</v>
      </c>
      <c r="O259" s="111"/>
      <c r="P259" s="112">
        <v>31020.69</v>
      </c>
      <c r="Q259" s="113">
        <f t="shared" si="13"/>
        <v>1.0521508792587259E-2</v>
      </c>
      <c r="R259" s="114"/>
      <c r="S259" s="115"/>
      <c r="T259" s="105"/>
    </row>
    <row r="260" spans="1:20" outlineLevel="1">
      <c r="A260" s="105"/>
      <c r="B260" s="106" t="s">
        <v>308</v>
      </c>
      <c r="C260" s="105"/>
      <c r="D260" s="107">
        <v>57260</v>
      </c>
      <c r="E260" s="107" t="s">
        <v>427</v>
      </c>
      <c r="F260" s="108"/>
      <c r="G260" s="109"/>
      <c r="H260" s="110"/>
      <c r="I260" s="111"/>
      <c r="J260" s="112">
        <v>2096.87</v>
      </c>
      <c r="K260" s="111"/>
      <c r="L260" s="112">
        <v>2096.88</v>
      </c>
      <c r="M260" s="111"/>
      <c r="N260" s="112">
        <v>2096.87</v>
      </c>
      <c r="O260" s="111"/>
      <c r="P260" s="112">
        <v>23642.92</v>
      </c>
      <c r="Q260" s="113">
        <f t="shared" si="13"/>
        <v>8.0191378935296782E-3</v>
      </c>
      <c r="R260" s="114"/>
      <c r="S260" s="115"/>
      <c r="T260" s="105"/>
    </row>
    <row r="261" spans="1:20" outlineLevel="1">
      <c r="A261" s="105"/>
      <c r="B261" s="106" t="s">
        <v>308</v>
      </c>
      <c r="C261" s="105"/>
      <c r="D261" s="107">
        <v>70260</v>
      </c>
      <c r="E261" s="107" t="s">
        <v>427</v>
      </c>
      <c r="F261" s="108"/>
      <c r="G261" s="109"/>
      <c r="H261" s="110"/>
      <c r="I261" s="111"/>
      <c r="J261" s="112">
        <v>366.4</v>
      </c>
      <c r="K261" s="111"/>
      <c r="L261" s="112">
        <v>187.27</v>
      </c>
      <c r="M261" s="111"/>
      <c r="N261" s="112">
        <v>140.94</v>
      </c>
      <c r="O261" s="111"/>
      <c r="P261" s="112">
        <v>4049.94</v>
      </c>
      <c r="Q261" s="113">
        <f t="shared" si="13"/>
        <v>1.3736470503863984E-3</v>
      </c>
      <c r="R261" s="114"/>
      <c r="S261" s="115"/>
      <c r="T261" s="105"/>
    </row>
    <row r="262" spans="1:20" s="65" customFormat="1" ht="5.0999999999999996" customHeight="1" outlineLevel="1">
      <c r="A262" s="140" t="s">
        <v>301</v>
      </c>
      <c r="B262" s="140" t="s">
        <v>301</v>
      </c>
      <c r="C262" s="105"/>
      <c r="D262" s="108"/>
      <c r="E262" s="108"/>
      <c r="F262" s="108"/>
      <c r="G262" s="108"/>
      <c r="H262" s="110"/>
      <c r="I262" s="110"/>
      <c r="J262" s="143"/>
      <c r="K262" s="142"/>
      <c r="L262" s="143"/>
      <c r="M262" s="142"/>
      <c r="N262" s="143"/>
      <c r="O262" s="168"/>
      <c r="P262" s="143"/>
      <c r="Q262" s="163"/>
      <c r="R262" s="120"/>
      <c r="S262" s="110"/>
      <c r="T262" s="110"/>
    </row>
    <row r="263" spans="1:20" s="65" customFormat="1">
      <c r="A263" s="140" t="s">
        <v>426</v>
      </c>
      <c r="B263" s="140" t="s">
        <v>301</v>
      </c>
      <c r="C263" s="105"/>
      <c r="D263" s="110"/>
      <c r="E263" s="110"/>
      <c r="F263" s="108" t="s">
        <v>427</v>
      </c>
      <c r="G263" s="110"/>
      <c r="H263" s="110"/>
      <c r="I263" s="110"/>
      <c r="J263" s="141">
        <f>SUM(J258:J262)</f>
        <v>15921.749999999998</v>
      </c>
      <c r="K263" s="142"/>
      <c r="L263" s="141">
        <f>SUM(L258:L262)</f>
        <v>15972.810000000001</v>
      </c>
      <c r="M263" s="142"/>
      <c r="N263" s="141">
        <f>SUM(N258:N262)</f>
        <v>15926.430000000002</v>
      </c>
      <c r="O263" s="169">
        <f>IF(N$51=0,0,N263/N$51)</f>
        <v>0</v>
      </c>
      <c r="P263" s="141">
        <f>SUM(P258:P262)</f>
        <v>156973.06</v>
      </c>
      <c r="Q263" s="113">
        <f>IF(P$57=0,0,P263/P$57)</f>
        <v>5.3241672928272303E-2</v>
      </c>
      <c r="R263" s="120"/>
      <c r="S263" s="110"/>
      <c r="T263" s="110"/>
    </row>
    <row r="264" spans="1:20" s="65" customFormat="1" outlineLevel="1">
      <c r="A264" s="140" t="s">
        <v>301</v>
      </c>
      <c r="B264" s="140" t="s">
        <v>301</v>
      </c>
      <c r="C264" s="105"/>
      <c r="D264" s="110"/>
      <c r="E264" s="110"/>
      <c r="F264" s="108"/>
      <c r="G264" s="110"/>
      <c r="H264" s="110"/>
      <c r="I264" s="110"/>
      <c r="J264" s="142"/>
      <c r="K264" s="142"/>
      <c r="L264" s="142"/>
      <c r="M264" s="142"/>
      <c r="N264" s="142"/>
      <c r="O264" s="168"/>
      <c r="P264" s="142"/>
      <c r="Q264" s="163"/>
      <c r="R264" s="120"/>
      <c r="S264" s="110"/>
      <c r="T264" s="110"/>
    </row>
    <row r="265" spans="1:20" outlineLevel="1">
      <c r="A265" s="105"/>
      <c r="B265" s="106" t="s">
        <v>428</v>
      </c>
      <c r="C265" s="105"/>
      <c r="D265" s="107"/>
      <c r="E265" s="107"/>
      <c r="F265" s="108"/>
      <c r="G265" s="109"/>
      <c r="H265" s="110"/>
      <c r="I265" s="111"/>
      <c r="J265" s="112"/>
      <c r="K265" s="111"/>
      <c r="L265" s="112"/>
      <c r="M265" s="111"/>
      <c r="N265" s="112"/>
      <c r="O265" s="111"/>
      <c r="P265" s="112"/>
      <c r="Q265" s="113"/>
      <c r="R265" s="114"/>
      <c r="S265" s="115"/>
      <c r="T265" s="105"/>
    </row>
    <row r="266" spans="1:20" s="65" customFormat="1" ht="5.0999999999999996" customHeight="1" outlineLevel="1">
      <c r="A266" s="140" t="s">
        <v>301</v>
      </c>
      <c r="B266" s="140" t="s">
        <v>301</v>
      </c>
      <c r="C266" s="105"/>
      <c r="D266" s="108"/>
      <c r="E266" s="108"/>
      <c r="F266" s="108"/>
      <c r="G266" s="108"/>
      <c r="H266" s="110"/>
      <c r="I266" s="110"/>
      <c r="J266" s="143"/>
      <c r="K266" s="142"/>
      <c r="L266" s="143"/>
      <c r="M266" s="142"/>
      <c r="N266" s="143"/>
      <c r="O266" s="168"/>
      <c r="P266" s="143"/>
      <c r="Q266" s="163"/>
      <c r="R266" s="120"/>
      <c r="S266" s="110"/>
      <c r="T266" s="110"/>
    </row>
    <row r="267" spans="1:20" s="65" customFormat="1">
      <c r="A267" s="140" t="s">
        <v>428</v>
      </c>
      <c r="B267" s="140" t="s">
        <v>301</v>
      </c>
      <c r="C267" s="105"/>
      <c r="D267" s="110"/>
      <c r="E267" s="110"/>
      <c r="F267" s="107" t="s">
        <v>429</v>
      </c>
      <c r="G267" s="110"/>
      <c r="H267" s="110"/>
      <c r="I267" s="110"/>
      <c r="J267" s="141">
        <f>SUM(J265:J266)</f>
        <v>0</v>
      </c>
      <c r="K267" s="142"/>
      <c r="L267" s="141">
        <f>SUM(L265:L266)</f>
        <v>0</v>
      </c>
      <c r="M267" s="142"/>
      <c r="N267" s="141">
        <f>SUM(N265:N266)</f>
        <v>0</v>
      </c>
      <c r="O267" s="169">
        <f>IF(N$51=0,0,N267/N$51)</f>
        <v>0</v>
      </c>
      <c r="P267" s="141">
        <f>SUM(P265:P266)</f>
        <v>0</v>
      </c>
      <c r="Q267" s="113">
        <f>IF(P$57=0,0,P267/P$57)</f>
        <v>0</v>
      </c>
      <c r="R267" s="120"/>
      <c r="S267" s="110"/>
      <c r="T267" s="110"/>
    </row>
    <row r="268" spans="1:20" s="65" customFormat="1" outlineLevel="1">
      <c r="A268" s="140" t="s">
        <v>301</v>
      </c>
      <c r="B268" s="140" t="s">
        <v>301</v>
      </c>
      <c r="C268" s="105"/>
      <c r="D268" s="110"/>
      <c r="E268" s="110"/>
      <c r="F268" s="110"/>
      <c r="G268" s="110"/>
      <c r="H268" s="110"/>
      <c r="I268" s="110"/>
      <c r="J268" s="142"/>
      <c r="K268" s="142"/>
      <c r="L268" s="142"/>
      <c r="M268" s="142"/>
      <c r="N268" s="142"/>
      <c r="O268" s="142"/>
      <c r="P268" s="142"/>
      <c r="Q268" s="163"/>
      <c r="R268" s="120"/>
      <c r="S268" s="110"/>
      <c r="T268" s="110"/>
    </row>
    <row r="269" spans="1:20" outlineLevel="1">
      <c r="A269" s="105"/>
      <c r="B269" s="106" t="s">
        <v>430</v>
      </c>
      <c r="C269" s="105"/>
      <c r="D269" s="107">
        <v>70269</v>
      </c>
      <c r="E269" s="107" t="s">
        <v>431</v>
      </c>
      <c r="F269" s="108"/>
      <c r="G269" s="109"/>
      <c r="H269" s="110"/>
      <c r="I269" s="111"/>
      <c r="J269" s="112">
        <v>651.72</v>
      </c>
      <c r="K269" s="111"/>
      <c r="L269" s="112">
        <v>651.70000000000005</v>
      </c>
      <c r="M269" s="111"/>
      <c r="N269" s="112">
        <v>651.71</v>
      </c>
      <c r="O269" s="111"/>
      <c r="P269" s="112">
        <v>7820.51</v>
      </c>
      <c r="Q269" s="113">
        <f>IF(P$57=0,0,P269/P$57)</f>
        <v>2.6525381842736765E-3</v>
      </c>
      <c r="R269" s="114"/>
      <c r="S269" s="115"/>
      <c r="T269" s="105"/>
    </row>
    <row r="270" spans="1:20" s="65" customFormat="1" ht="5.0999999999999996" customHeight="1" outlineLevel="1">
      <c r="A270" s="140" t="s">
        <v>301</v>
      </c>
      <c r="B270" s="138" t="s">
        <v>301</v>
      </c>
      <c r="C270" s="170"/>
      <c r="D270" s="108"/>
      <c r="E270" s="108"/>
      <c r="F270" s="108"/>
      <c r="G270" s="108"/>
      <c r="H270" s="110"/>
      <c r="I270" s="110"/>
      <c r="J270" s="143"/>
      <c r="K270" s="142"/>
      <c r="L270" s="143"/>
      <c r="M270" s="142"/>
      <c r="N270" s="143"/>
      <c r="O270" s="142"/>
      <c r="P270" s="143"/>
      <c r="Q270" s="163"/>
      <c r="R270" s="120"/>
      <c r="S270" s="110"/>
      <c r="T270" s="110"/>
    </row>
    <row r="271" spans="1:20" s="65" customFormat="1">
      <c r="A271" s="140" t="s">
        <v>430</v>
      </c>
      <c r="B271" s="138" t="s">
        <v>301</v>
      </c>
      <c r="C271" s="170"/>
      <c r="D271" s="110"/>
      <c r="E271" s="110"/>
      <c r="F271" s="108" t="s">
        <v>432</v>
      </c>
      <c r="G271" s="110"/>
      <c r="H271" s="110"/>
      <c r="I271" s="110"/>
      <c r="J271" s="141">
        <f>SUM(J269:J270)</f>
        <v>651.72</v>
      </c>
      <c r="K271" s="142"/>
      <c r="L271" s="141">
        <f>SUM(L269:L270)</f>
        <v>651.70000000000005</v>
      </c>
      <c r="M271" s="142"/>
      <c r="N271" s="141">
        <f>SUM(N269:N270)</f>
        <v>651.71</v>
      </c>
      <c r="O271" s="169">
        <f>IF(N$51=0,0,N271/N$51)</f>
        <v>0</v>
      </c>
      <c r="P271" s="141">
        <f>SUM(P269:P270)</f>
        <v>7820.51</v>
      </c>
      <c r="Q271" s="113">
        <f>IF(P$57=0,0,P271/P$57)</f>
        <v>2.6525381842736765E-3</v>
      </c>
      <c r="R271" s="120"/>
      <c r="S271" s="110"/>
      <c r="T271" s="110"/>
    </row>
    <row r="272" spans="1:20" s="65" customFormat="1" ht="6.75" customHeight="1">
      <c r="A272" s="138" t="s">
        <v>301</v>
      </c>
      <c r="B272" s="138" t="s">
        <v>301</v>
      </c>
      <c r="C272" s="170"/>
      <c r="D272" s="110"/>
      <c r="E272" s="110"/>
      <c r="F272" s="110"/>
      <c r="G272" s="110"/>
      <c r="H272" s="110"/>
      <c r="I272" s="110"/>
      <c r="J272" s="142"/>
      <c r="K272" s="142"/>
      <c r="L272" s="142"/>
      <c r="M272" s="142"/>
      <c r="N272" s="142"/>
      <c r="O272" s="142"/>
      <c r="P272" s="142"/>
      <c r="Q272" s="163"/>
      <c r="R272" s="120"/>
      <c r="S272" s="110"/>
      <c r="T272" s="110"/>
    </row>
    <row r="273" spans="1:20" s="65" customFormat="1">
      <c r="A273" s="138" t="s">
        <v>301</v>
      </c>
      <c r="B273" s="138" t="s">
        <v>301</v>
      </c>
      <c r="C273" s="170"/>
      <c r="D273" s="110"/>
      <c r="E273" s="145" t="s">
        <v>433</v>
      </c>
      <c r="F273" s="110"/>
      <c r="G273" s="110"/>
      <c r="H273" s="110"/>
      <c r="I273" s="110"/>
      <c r="J273" s="146">
        <f>+J263+J267+J271</f>
        <v>16573.469999999998</v>
      </c>
      <c r="K273" s="142"/>
      <c r="L273" s="146">
        <f>+L263+L267+L271</f>
        <v>16624.510000000002</v>
      </c>
      <c r="M273" s="142"/>
      <c r="N273" s="146">
        <f>+N263+N267+N271</f>
        <v>16578.140000000003</v>
      </c>
      <c r="O273" s="169">
        <f>IF(N$51=0,0,N273/N$51)</f>
        <v>0</v>
      </c>
      <c r="P273" s="146">
        <f>+P263+P267+P271</f>
        <v>164793.57</v>
      </c>
      <c r="Q273" s="113">
        <f>IF(P$57=0,0,P273/P$57)</f>
        <v>5.5894211112545986E-2</v>
      </c>
      <c r="R273" s="120"/>
      <c r="S273" s="110"/>
      <c r="T273" s="110"/>
    </row>
    <row r="274" spans="1:20" s="65" customFormat="1" ht="6.75" customHeight="1">
      <c r="A274" s="138" t="s">
        <v>301</v>
      </c>
      <c r="B274" s="138" t="s">
        <v>301</v>
      </c>
      <c r="C274" s="170"/>
      <c r="D274" s="110"/>
      <c r="E274" s="110"/>
      <c r="F274" s="110"/>
      <c r="G274" s="110"/>
      <c r="H274" s="110"/>
      <c r="I274" s="110"/>
      <c r="J274" s="142"/>
      <c r="K274" s="142"/>
      <c r="L274" s="142"/>
      <c r="M274" s="142"/>
      <c r="N274" s="142"/>
      <c r="O274" s="142"/>
      <c r="P274" s="142"/>
      <c r="Q274" s="163"/>
      <c r="R274" s="120"/>
      <c r="S274" s="110"/>
      <c r="T274" s="110"/>
    </row>
    <row r="275" spans="1:20" s="65" customFormat="1">
      <c r="A275" s="138" t="s">
        <v>301</v>
      </c>
      <c r="B275" s="138" t="s">
        <v>301</v>
      </c>
      <c r="C275" s="170"/>
      <c r="D275" s="110"/>
      <c r="E275" s="150" t="s">
        <v>434</v>
      </c>
      <c r="F275" s="110"/>
      <c r="G275" s="110"/>
      <c r="H275" s="110"/>
      <c r="I275" s="110"/>
      <c r="J275" s="146">
        <f>+J254-J273</f>
        <v>22044.529999999973</v>
      </c>
      <c r="K275" s="142"/>
      <c r="L275" s="146">
        <f>+L254-L273</f>
        <v>16293.089999999997</v>
      </c>
      <c r="M275" s="142"/>
      <c r="N275" s="146">
        <f>+N254-N273</f>
        <v>-41548.570000000007</v>
      </c>
      <c r="O275" s="169">
        <f>IF(N$51=0,0,N275/N$51)</f>
        <v>0</v>
      </c>
      <c r="P275" s="146">
        <f>+P254-P273</f>
        <v>160778.16000000003</v>
      </c>
      <c r="Q275" s="113">
        <f>IF(P$57=0,0,P275/P$57)</f>
        <v>5.4532275848667502E-2</v>
      </c>
      <c r="R275" s="120"/>
      <c r="S275" s="110"/>
      <c r="T275" s="110"/>
    </row>
    <row r="276" spans="1:20" s="65" customFormat="1" ht="6.75" customHeight="1">
      <c r="A276" s="138" t="s">
        <v>301</v>
      </c>
      <c r="B276" s="138" t="s">
        <v>301</v>
      </c>
      <c r="C276" s="170"/>
      <c r="D276" s="110"/>
      <c r="E276" s="110"/>
      <c r="F276" s="110"/>
      <c r="G276" s="110"/>
      <c r="H276" s="110"/>
      <c r="I276" s="110"/>
      <c r="J276" s="142"/>
      <c r="K276" s="142"/>
      <c r="L276" s="142"/>
      <c r="M276" s="142"/>
      <c r="N276" s="142"/>
      <c r="O276" s="142"/>
      <c r="P276" s="142"/>
      <c r="Q276" s="163"/>
      <c r="R276" s="120"/>
      <c r="S276" s="110"/>
      <c r="T276" s="110"/>
    </row>
    <row r="277" spans="1:20" outlineLevel="1">
      <c r="A277" s="105"/>
      <c r="B277" s="106" t="s">
        <v>435</v>
      </c>
      <c r="C277" s="105"/>
      <c r="D277" s="107"/>
      <c r="E277" s="107"/>
      <c r="F277" s="108"/>
      <c r="G277" s="109"/>
      <c r="H277" s="110"/>
      <c r="I277" s="111"/>
      <c r="J277" s="112"/>
      <c r="K277" s="111"/>
      <c r="L277" s="112"/>
      <c r="M277" s="111"/>
      <c r="N277" s="112"/>
      <c r="O277" s="111"/>
      <c r="P277" s="112"/>
      <c r="Q277" s="113"/>
      <c r="R277" s="114"/>
      <c r="S277" s="115"/>
      <c r="T277" s="105"/>
    </row>
    <row r="278" spans="1:20" s="65" customFormat="1" ht="5.0999999999999996" customHeight="1" outlineLevel="1">
      <c r="A278" s="138" t="s">
        <v>301</v>
      </c>
      <c r="B278" s="138" t="s">
        <v>301</v>
      </c>
      <c r="C278" s="170"/>
      <c r="D278" s="108"/>
      <c r="E278" s="108"/>
      <c r="F278" s="108"/>
      <c r="G278" s="108"/>
      <c r="H278" s="110"/>
      <c r="I278" s="110"/>
      <c r="J278" s="143"/>
      <c r="K278" s="142"/>
      <c r="L278" s="143"/>
      <c r="M278" s="142"/>
      <c r="N278" s="143"/>
      <c r="O278" s="142"/>
      <c r="P278" s="143"/>
      <c r="Q278" s="163"/>
      <c r="R278" s="120"/>
      <c r="S278" s="110"/>
      <c r="T278" s="110"/>
    </row>
    <row r="279" spans="1:20" s="65" customFormat="1">
      <c r="A279" s="140" t="s">
        <v>435</v>
      </c>
      <c r="B279" s="138" t="s">
        <v>301</v>
      </c>
      <c r="C279" s="170"/>
      <c r="D279" s="110"/>
      <c r="E279" s="110"/>
      <c r="F279" s="108" t="s">
        <v>436</v>
      </c>
      <c r="G279" s="110"/>
      <c r="H279" s="110"/>
      <c r="I279" s="110"/>
      <c r="J279" s="141">
        <f>SUM(J277:J278)</f>
        <v>0</v>
      </c>
      <c r="K279" s="142"/>
      <c r="L279" s="141">
        <f>SUM(L277:L278)</f>
        <v>0</v>
      </c>
      <c r="M279" s="142"/>
      <c r="N279" s="141">
        <f>SUM(N277:N278)</f>
        <v>0</v>
      </c>
      <c r="O279" s="169">
        <f>IF(N$51=0,0,N279/N$51)</f>
        <v>0</v>
      </c>
      <c r="P279" s="141">
        <f>SUM(P277:P278)</f>
        <v>0</v>
      </c>
      <c r="Q279" s="113">
        <f>IF(P$57=0,0,P279/P$57)</f>
        <v>0</v>
      </c>
      <c r="R279" s="120"/>
      <c r="S279" s="110"/>
      <c r="T279" s="110"/>
    </row>
    <row r="280" spans="1:20" s="65" customFormat="1" outlineLevel="1">
      <c r="A280" s="138" t="s">
        <v>301</v>
      </c>
      <c r="B280" s="138" t="s">
        <v>301</v>
      </c>
      <c r="C280" s="170"/>
      <c r="D280" s="110"/>
      <c r="E280" s="110"/>
      <c r="F280" s="110"/>
      <c r="G280" s="110"/>
      <c r="H280" s="110"/>
      <c r="I280" s="110"/>
      <c r="J280" s="142"/>
      <c r="K280" s="142"/>
      <c r="L280" s="142"/>
      <c r="M280" s="142"/>
      <c r="N280" s="142"/>
      <c r="O280" s="142"/>
      <c r="P280" s="142"/>
      <c r="Q280" s="163"/>
      <c r="R280" s="120"/>
      <c r="S280" s="110"/>
      <c r="T280" s="110"/>
    </row>
    <row r="281" spans="1:20" outlineLevel="1">
      <c r="A281" s="105"/>
      <c r="B281" s="106" t="s">
        <v>437</v>
      </c>
      <c r="C281" s="105"/>
      <c r="D281" s="107"/>
      <c r="E281" s="107"/>
      <c r="F281" s="108"/>
      <c r="G281" s="109"/>
      <c r="H281" s="110"/>
      <c r="I281" s="111"/>
      <c r="J281" s="112"/>
      <c r="K281" s="111"/>
      <c r="L281" s="112"/>
      <c r="M281" s="111"/>
      <c r="N281" s="112"/>
      <c r="O281" s="111"/>
      <c r="P281" s="112"/>
      <c r="Q281" s="113"/>
      <c r="R281" s="114"/>
      <c r="S281" s="115"/>
      <c r="T281" s="105"/>
    </row>
    <row r="282" spans="1:20" s="65" customFormat="1" ht="5.0999999999999996" customHeight="1" outlineLevel="1">
      <c r="A282" s="138" t="s">
        <v>301</v>
      </c>
      <c r="B282" s="138" t="s">
        <v>301</v>
      </c>
      <c r="C282" s="170"/>
      <c r="D282" s="108"/>
      <c r="E282" s="108"/>
      <c r="F282" s="108"/>
      <c r="G282" s="108"/>
      <c r="H282" s="110"/>
      <c r="I282" s="110"/>
      <c r="J282" s="143"/>
      <c r="K282" s="142"/>
      <c r="L282" s="143"/>
      <c r="M282" s="142"/>
      <c r="N282" s="143"/>
      <c r="O282" s="142"/>
      <c r="P282" s="143"/>
      <c r="Q282" s="163"/>
      <c r="R282" s="120"/>
      <c r="S282" s="110"/>
      <c r="T282" s="110"/>
    </row>
    <row r="283" spans="1:20" s="65" customFormat="1">
      <c r="A283" s="140" t="s">
        <v>437</v>
      </c>
      <c r="B283" s="138" t="s">
        <v>301</v>
      </c>
      <c r="C283" s="170"/>
      <c r="D283" s="110"/>
      <c r="E283" s="110"/>
      <c r="F283" s="107" t="s">
        <v>438</v>
      </c>
      <c r="G283" s="110"/>
      <c r="H283" s="110"/>
      <c r="I283" s="110"/>
      <c r="J283" s="141">
        <f>SUM(J281:J282)</f>
        <v>0</v>
      </c>
      <c r="K283" s="142"/>
      <c r="L283" s="141">
        <f>SUM(L281:L282)</f>
        <v>0</v>
      </c>
      <c r="M283" s="142"/>
      <c r="N283" s="141">
        <f>SUM(N281:N282)</f>
        <v>0</v>
      </c>
      <c r="O283" s="169">
        <f>IF(N$51=0,0,N283/N$51)</f>
        <v>0</v>
      </c>
      <c r="P283" s="141">
        <f>SUM(P281:P282)</f>
        <v>0</v>
      </c>
      <c r="Q283" s="113">
        <f>IF(P$57=0,0,P283/P$57)</f>
        <v>0</v>
      </c>
      <c r="R283" s="120"/>
      <c r="S283" s="110"/>
      <c r="T283" s="110"/>
    </row>
    <row r="284" spans="1:20" s="65" customFormat="1" outlineLevel="1">
      <c r="A284" s="138" t="s">
        <v>301</v>
      </c>
      <c r="B284" s="138" t="s">
        <v>301</v>
      </c>
      <c r="C284" s="170"/>
      <c r="D284" s="110"/>
      <c r="E284" s="110"/>
      <c r="F284" s="110"/>
      <c r="G284" s="110"/>
      <c r="H284" s="110"/>
      <c r="I284" s="110"/>
      <c r="J284" s="142"/>
      <c r="K284" s="142"/>
      <c r="L284" s="142"/>
      <c r="M284" s="142"/>
      <c r="N284" s="142"/>
      <c r="O284" s="142"/>
      <c r="P284" s="142"/>
      <c r="Q284" s="163"/>
      <c r="R284" s="120"/>
      <c r="S284" s="110"/>
      <c r="T284" s="110"/>
    </row>
    <row r="285" spans="1:20" outlineLevel="1">
      <c r="A285" s="105"/>
      <c r="B285" s="106" t="s">
        <v>439</v>
      </c>
      <c r="C285" s="105"/>
      <c r="D285" s="107"/>
      <c r="E285" s="107"/>
      <c r="F285" s="108"/>
      <c r="G285" s="109"/>
      <c r="H285" s="110"/>
      <c r="I285" s="111"/>
      <c r="J285" s="112"/>
      <c r="K285" s="111"/>
      <c r="L285" s="112"/>
      <c r="M285" s="111"/>
      <c r="N285" s="112"/>
      <c r="O285" s="111"/>
      <c r="P285" s="112"/>
      <c r="Q285" s="113"/>
      <c r="R285" s="114"/>
      <c r="S285" s="115"/>
      <c r="T285" s="105"/>
    </row>
    <row r="286" spans="1:20" s="65" customFormat="1" ht="5.0999999999999996" customHeight="1" outlineLevel="1">
      <c r="A286" s="138" t="s">
        <v>301</v>
      </c>
      <c r="B286" s="138" t="s">
        <v>301</v>
      </c>
      <c r="C286" s="170"/>
      <c r="D286" s="108"/>
      <c r="E286" s="108"/>
      <c r="F286" s="108"/>
      <c r="G286" s="108"/>
      <c r="H286" s="110"/>
      <c r="I286" s="110"/>
      <c r="J286" s="143"/>
      <c r="K286" s="142"/>
      <c r="L286" s="143"/>
      <c r="M286" s="142"/>
      <c r="N286" s="143"/>
      <c r="O286" s="142"/>
      <c r="P286" s="143"/>
      <c r="Q286" s="163"/>
      <c r="R286" s="120"/>
      <c r="S286" s="110"/>
      <c r="T286" s="110"/>
    </row>
    <row r="287" spans="1:20" s="65" customFormat="1">
      <c r="A287" s="140" t="s">
        <v>439</v>
      </c>
      <c r="B287" s="138" t="s">
        <v>301</v>
      </c>
      <c r="C287" s="170"/>
      <c r="D287" s="110"/>
      <c r="E287" s="110"/>
      <c r="F287" s="108" t="s">
        <v>440</v>
      </c>
      <c r="G287" s="110"/>
      <c r="H287" s="110"/>
      <c r="I287" s="110"/>
      <c r="J287" s="141">
        <f>SUM(J285:J286)</f>
        <v>0</v>
      </c>
      <c r="K287" s="142"/>
      <c r="L287" s="141">
        <f>SUM(L285:L286)</f>
        <v>0</v>
      </c>
      <c r="M287" s="142"/>
      <c r="N287" s="141">
        <f>SUM(N285:N286)</f>
        <v>0</v>
      </c>
      <c r="O287" s="169">
        <f>IF(N$51=0,0,N287/N$51)</f>
        <v>0</v>
      </c>
      <c r="P287" s="141">
        <f>SUM(P285:P286)</f>
        <v>0</v>
      </c>
      <c r="Q287" s="113">
        <f>IF(P$57=0,0,P287/P$57)</f>
        <v>0</v>
      </c>
      <c r="R287" s="120"/>
      <c r="S287" s="110"/>
      <c r="T287" s="110"/>
    </row>
    <row r="288" spans="1:20" s="65" customFormat="1" ht="6.75" customHeight="1">
      <c r="A288" s="138" t="s">
        <v>301</v>
      </c>
      <c r="B288" s="140" t="s">
        <v>301</v>
      </c>
      <c r="C288" s="105"/>
      <c r="D288" s="110"/>
      <c r="E288" s="110"/>
      <c r="F288" s="110"/>
      <c r="G288" s="110"/>
      <c r="H288" s="110"/>
      <c r="I288" s="110"/>
      <c r="J288" s="142"/>
      <c r="K288" s="142"/>
      <c r="L288" s="142"/>
      <c r="M288" s="142"/>
      <c r="N288" s="142"/>
      <c r="O288" s="142"/>
      <c r="P288" s="142"/>
      <c r="Q288" s="163"/>
      <c r="R288" s="120"/>
      <c r="S288" s="110"/>
      <c r="T288" s="110"/>
    </row>
    <row r="289" spans="1:20" s="65" customFormat="1">
      <c r="A289" s="138" t="s">
        <v>301</v>
      </c>
      <c r="B289" s="140" t="s">
        <v>301</v>
      </c>
      <c r="C289" s="105"/>
      <c r="D289" s="110"/>
      <c r="E289" s="145" t="s">
        <v>441</v>
      </c>
      <c r="F289" s="110"/>
      <c r="G289" s="110"/>
      <c r="H289" s="110"/>
      <c r="I289" s="110"/>
      <c r="J289" s="146">
        <f>+J275-J279-J283-J287</f>
        <v>22044.529999999973</v>
      </c>
      <c r="K289" s="142"/>
      <c r="L289" s="146">
        <f>+L275-L279-L283-L287</f>
        <v>16293.089999999997</v>
      </c>
      <c r="M289" s="142"/>
      <c r="N289" s="146">
        <f>+N275-N279-N283-N287</f>
        <v>-41548.570000000007</v>
      </c>
      <c r="O289" s="169">
        <f>IF(N$51=0,0,N289/N$51)</f>
        <v>0</v>
      </c>
      <c r="P289" s="146">
        <f>+P275-P279-P283-P287</f>
        <v>160778.16000000003</v>
      </c>
      <c r="Q289" s="113">
        <f>IF(P$57=0,0,P289/P$57)</f>
        <v>5.4532275848667502E-2</v>
      </c>
      <c r="R289" s="120"/>
      <c r="S289" s="110"/>
      <c r="T289" s="110"/>
    </row>
    <row r="290" spans="1:20" s="65" customFormat="1" ht="6.75" customHeight="1">
      <c r="A290" s="140" t="s">
        <v>301</v>
      </c>
      <c r="B290" s="140" t="s">
        <v>301</v>
      </c>
      <c r="C290" s="105"/>
      <c r="D290" s="110"/>
      <c r="E290" s="110"/>
      <c r="F290" s="110"/>
      <c r="G290" s="110"/>
      <c r="H290" s="110"/>
      <c r="I290" s="110"/>
      <c r="J290" s="142"/>
      <c r="K290" s="142"/>
      <c r="L290" s="142"/>
      <c r="M290" s="142"/>
      <c r="N290" s="142"/>
      <c r="O290" s="142"/>
      <c r="P290" s="142"/>
      <c r="Q290" s="163"/>
      <c r="R290" s="120"/>
      <c r="S290" s="110"/>
      <c r="T290" s="110"/>
    </row>
    <row r="291" spans="1:20" s="66" customFormat="1" outlineLevel="1">
      <c r="A291" s="140"/>
      <c r="B291" s="171" t="s">
        <v>442</v>
      </c>
      <c r="C291" s="151"/>
      <c r="D291" s="151"/>
      <c r="E291" s="151"/>
      <c r="F291" s="151"/>
      <c r="G291" s="151"/>
      <c r="H291" s="151"/>
      <c r="I291" s="151"/>
      <c r="J291" s="151"/>
      <c r="K291" s="151"/>
      <c r="L291" s="151"/>
      <c r="M291" s="151"/>
      <c r="N291" s="151"/>
      <c r="O291" s="151"/>
      <c r="P291" s="151"/>
      <c r="Q291" s="153"/>
      <c r="R291" s="151"/>
      <c r="S291" s="151"/>
      <c r="T291" s="151"/>
    </row>
    <row r="292" spans="1:20" s="65" customFormat="1" ht="5.0999999999999996" customHeight="1" outlineLevel="1">
      <c r="A292" s="140" t="s">
        <v>301</v>
      </c>
      <c r="B292" s="138" t="s">
        <v>301</v>
      </c>
      <c r="C292" s="170"/>
      <c r="D292" s="108"/>
      <c r="E292" s="108"/>
      <c r="F292" s="108"/>
      <c r="G292" s="108"/>
      <c r="H292" s="110"/>
      <c r="I292" s="110"/>
      <c r="J292" s="143"/>
      <c r="K292" s="142"/>
      <c r="L292" s="143"/>
      <c r="M292" s="142"/>
      <c r="N292" s="143"/>
      <c r="O292" s="142"/>
      <c r="P292" s="143"/>
      <c r="Q292" s="163"/>
      <c r="R292" s="120"/>
      <c r="S292" s="110"/>
      <c r="T292" s="110"/>
    </row>
    <row r="293" spans="1:20" s="65" customFormat="1">
      <c r="A293" s="172" t="s">
        <v>442</v>
      </c>
      <c r="B293" s="138" t="s">
        <v>301</v>
      </c>
      <c r="C293" s="170"/>
      <c r="D293" s="110"/>
      <c r="E293" s="110"/>
      <c r="F293" s="107" t="s">
        <v>443</v>
      </c>
      <c r="G293" s="110"/>
      <c r="H293" s="110"/>
      <c r="I293" s="110"/>
      <c r="J293" s="141">
        <f>SUM(J291:J292)</f>
        <v>0</v>
      </c>
      <c r="K293" s="142"/>
      <c r="L293" s="141">
        <f>SUM(L291:L292)</f>
        <v>0</v>
      </c>
      <c r="M293" s="142"/>
      <c r="N293" s="141">
        <f>SUM(N291:N292)</f>
        <v>0</v>
      </c>
      <c r="O293" s="169">
        <f>IF(N$51=0,0,N293/N$51)</f>
        <v>0</v>
      </c>
      <c r="P293" s="141">
        <f>SUM(P291:P292)</f>
        <v>0</v>
      </c>
      <c r="Q293" s="113">
        <f>IF(P$57=0,0,P293/P$57)</f>
        <v>0</v>
      </c>
      <c r="R293" s="120"/>
      <c r="S293" s="110"/>
      <c r="T293" s="110"/>
    </row>
    <row r="294" spans="1:20" s="65" customFormat="1" ht="6.75" customHeight="1">
      <c r="A294" s="138" t="s">
        <v>301</v>
      </c>
      <c r="B294" s="140" t="s">
        <v>301</v>
      </c>
      <c r="C294" s="105"/>
      <c r="D294" s="110"/>
      <c r="E294" s="110"/>
      <c r="F294" s="110"/>
      <c r="G294" s="110"/>
      <c r="H294" s="110"/>
      <c r="I294" s="110"/>
      <c r="J294" s="142"/>
      <c r="K294" s="142"/>
      <c r="L294" s="142"/>
      <c r="M294" s="142"/>
      <c r="N294" s="142"/>
      <c r="O294" s="142"/>
      <c r="P294" s="142"/>
      <c r="Q294" s="163"/>
      <c r="R294" s="120"/>
      <c r="S294" s="110"/>
      <c r="T294" s="110"/>
    </row>
    <row r="295" spans="1:20" s="65" customFormat="1">
      <c r="A295" s="138" t="s">
        <v>301</v>
      </c>
      <c r="B295" s="138" t="s">
        <v>301</v>
      </c>
      <c r="C295" s="170"/>
      <c r="D295" s="110"/>
      <c r="E295" s="145" t="s">
        <v>444</v>
      </c>
      <c r="F295" s="110"/>
      <c r="G295" s="110"/>
      <c r="H295" s="110"/>
      <c r="I295" s="110"/>
      <c r="J295" s="146">
        <f>+J289-J293</f>
        <v>22044.529999999973</v>
      </c>
      <c r="K295" s="142"/>
      <c r="L295" s="146">
        <f>+L289-L293</f>
        <v>16293.089999999997</v>
      </c>
      <c r="M295" s="142"/>
      <c r="N295" s="146">
        <f>+N289-N293</f>
        <v>-41548.570000000007</v>
      </c>
      <c r="O295" s="169">
        <f>IF(N$51=0,0,N295/N$51)</f>
        <v>0</v>
      </c>
      <c r="P295" s="146">
        <f>+P289-P293</f>
        <v>160778.16000000003</v>
      </c>
      <c r="Q295" s="113">
        <f>IF(P$57=0,0,P295/P$57)</f>
        <v>5.4532275848667502E-2</v>
      </c>
      <c r="R295" s="120"/>
      <c r="S295" s="110"/>
      <c r="T295" s="110"/>
    </row>
    <row r="296" spans="1:20" ht="6.75" customHeight="1">
      <c r="A296" s="140" t="s">
        <v>301</v>
      </c>
      <c r="B296" s="140" t="s">
        <v>301</v>
      </c>
      <c r="C296" s="105"/>
      <c r="D296" s="105"/>
      <c r="E296" s="105"/>
      <c r="F296" s="105"/>
      <c r="G296" s="105"/>
      <c r="H296" s="105"/>
      <c r="I296" s="105"/>
      <c r="J296" s="173"/>
      <c r="K296" s="173"/>
      <c r="L296" s="173"/>
      <c r="M296" s="173"/>
      <c r="N296" s="173"/>
      <c r="O296" s="142"/>
      <c r="P296" s="173"/>
      <c r="Q296" s="163"/>
      <c r="R296" s="120"/>
      <c r="S296" s="105"/>
      <c r="T296" s="105"/>
    </row>
    <row r="297" spans="1:20" outlineLevel="1">
      <c r="A297" s="138"/>
      <c r="B297" s="174" t="s">
        <v>445</v>
      </c>
      <c r="C297" s="105"/>
      <c r="D297" s="107"/>
      <c r="E297" s="107"/>
      <c r="F297" s="108"/>
      <c r="G297" s="109"/>
      <c r="H297" s="110"/>
      <c r="I297" s="111"/>
      <c r="J297" s="112"/>
      <c r="K297" s="111"/>
      <c r="L297" s="112"/>
      <c r="M297" s="111"/>
      <c r="N297" s="112"/>
      <c r="O297" s="111"/>
      <c r="P297" s="112"/>
      <c r="Q297" s="113"/>
      <c r="R297" s="114"/>
      <c r="S297" s="115"/>
      <c r="T297" s="105"/>
    </row>
    <row r="298" spans="1:20" s="65" customFormat="1" ht="5.0999999999999996" customHeight="1" outlineLevel="1">
      <c r="A298" s="140" t="s">
        <v>301</v>
      </c>
      <c r="B298" s="138" t="s">
        <v>301</v>
      </c>
      <c r="C298" s="170"/>
      <c r="D298" s="108"/>
      <c r="E298" s="108"/>
      <c r="F298" s="108"/>
      <c r="G298" s="108"/>
      <c r="H298" s="110"/>
      <c r="I298" s="110"/>
      <c r="J298" s="143"/>
      <c r="K298" s="142"/>
      <c r="L298" s="143"/>
      <c r="M298" s="142"/>
      <c r="N298" s="143"/>
      <c r="O298" s="142"/>
      <c r="P298" s="143"/>
      <c r="Q298" s="163"/>
      <c r="R298" s="120"/>
      <c r="S298" s="110"/>
      <c r="T298" s="110"/>
    </row>
    <row r="299" spans="1:20" s="65" customFormat="1">
      <c r="A299" s="140" t="s">
        <v>445</v>
      </c>
      <c r="B299" s="138"/>
      <c r="C299" s="170"/>
      <c r="D299" s="110"/>
      <c r="E299" s="110"/>
      <c r="F299" s="107" t="s">
        <v>446</v>
      </c>
      <c r="G299" s="110"/>
      <c r="H299" s="110"/>
      <c r="I299" s="110"/>
      <c r="J299" s="141">
        <f>SUM(J297:J298)</f>
        <v>0</v>
      </c>
      <c r="K299" s="142"/>
      <c r="L299" s="141">
        <f>SUM(L297:L298)</f>
        <v>0</v>
      </c>
      <c r="M299" s="142"/>
      <c r="N299" s="141">
        <f>SUM(N297:N298)</f>
        <v>0</v>
      </c>
      <c r="O299" s="169">
        <f>IF(N$51=0,0,N299/N$51)</f>
        <v>0</v>
      </c>
      <c r="P299" s="141">
        <f>SUM(P297:P298)</f>
        <v>0</v>
      </c>
      <c r="Q299" s="113">
        <f>IF(P$57=0,0,P299/P$57)</f>
        <v>0</v>
      </c>
      <c r="R299" s="120"/>
      <c r="S299" s="110"/>
      <c r="T299" s="110"/>
    </row>
    <row r="300" spans="1:20" s="65" customFormat="1" ht="6.75" customHeight="1">
      <c r="A300" s="138" t="s">
        <v>301</v>
      </c>
      <c r="B300" s="138"/>
      <c r="C300" s="170"/>
      <c r="D300" s="110"/>
      <c r="E300" s="110"/>
      <c r="F300" s="110"/>
      <c r="G300" s="110"/>
      <c r="H300" s="110"/>
      <c r="I300" s="110"/>
      <c r="J300" s="142"/>
      <c r="K300" s="142"/>
      <c r="L300" s="142"/>
      <c r="M300" s="142"/>
      <c r="N300" s="142"/>
      <c r="O300" s="142"/>
      <c r="P300" s="142"/>
      <c r="Q300" s="163"/>
      <c r="R300" s="120"/>
      <c r="S300" s="110"/>
      <c r="T300" s="110"/>
    </row>
    <row r="301" spans="1:20" s="65" customFormat="1">
      <c r="A301" s="138"/>
      <c r="B301" s="140"/>
      <c r="C301" s="105"/>
      <c r="D301" s="110"/>
      <c r="E301" s="145" t="s">
        <v>447</v>
      </c>
      <c r="F301" s="110"/>
      <c r="G301" s="110"/>
      <c r="H301" s="110"/>
      <c r="I301" s="110"/>
      <c r="J301" s="146">
        <f>+J295-J299</f>
        <v>22044.529999999973</v>
      </c>
      <c r="K301" s="142"/>
      <c r="L301" s="146">
        <f>+L295-L299</f>
        <v>16293.089999999997</v>
      </c>
      <c r="M301" s="142"/>
      <c r="N301" s="146">
        <f>+N295-N299</f>
        <v>-41548.570000000007</v>
      </c>
      <c r="O301" s="169">
        <f>IF(N$51=0,0,N301/N$51)</f>
        <v>0</v>
      </c>
      <c r="P301" s="146">
        <f>+P295-P299</f>
        <v>160778.16000000003</v>
      </c>
      <c r="Q301" s="113">
        <f>IF(P$57=0,0,P301/P$57)</f>
        <v>5.4532275848667502E-2</v>
      </c>
      <c r="R301" s="120"/>
      <c r="S301" s="110"/>
      <c r="T301" s="110"/>
    </row>
    <row r="302" spans="1:20" s="65" customFormat="1" ht="6.75" customHeight="1">
      <c r="A302" s="138"/>
      <c r="B302" s="138"/>
      <c r="C302" s="170"/>
      <c r="D302" s="110"/>
      <c r="E302" s="110"/>
      <c r="F302" s="110"/>
      <c r="G302" s="110"/>
      <c r="H302" s="110"/>
      <c r="I302" s="110"/>
      <c r="J302" s="142"/>
      <c r="K302" s="142"/>
      <c r="L302" s="142"/>
      <c r="M302" s="142"/>
      <c r="N302" s="142"/>
      <c r="O302" s="142"/>
      <c r="P302" s="142"/>
      <c r="Q302" s="163"/>
      <c r="R302" s="120"/>
      <c r="S302" s="110"/>
      <c r="T302" s="110"/>
    </row>
    <row r="303" spans="1:20" outlineLevel="1">
      <c r="A303" s="105"/>
      <c r="B303" s="106" t="s">
        <v>448</v>
      </c>
      <c r="C303" s="105"/>
      <c r="D303" s="107"/>
      <c r="E303" s="107"/>
      <c r="F303" s="108"/>
      <c r="G303" s="109"/>
      <c r="H303" s="110"/>
      <c r="I303" s="111"/>
      <c r="J303" s="112"/>
      <c r="K303" s="111"/>
      <c r="L303" s="112"/>
      <c r="M303" s="111"/>
      <c r="N303" s="112"/>
      <c r="O303" s="111"/>
      <c r="P303" s="112"/>
      <c r="Q303" s="113"/>
      <c r="R303" s="114"/>
      <c r="S303" s="115"/>
      <c r="T303" s="105"/>
    </row>
    <row r="304" spans="1:20" s="65" customFormat="1" ht="5.0999999999999996" customHeight="1" outlineLevel="1">
      <c r="A304" s="138"/>
      <c r="B304" s="138" t="s">
        <v>301</v>
      </c>
      <c r="C304" s="170"/>
      <c r="D304" s="108"/>
      <c r="E304" s="108"/>
      <c r="F304" s="108"/>
      <c r="G304" s="108"/>
      <c r="H304" s="110"/>
      <c r="I304" s="110"/>
      <c r="J304" s="143"/>
      <c r="K304" s="142"/>
      <c r="L304" s="143"/>
      <c r="M304" s="142"/>
      <c r="N304" s="143"/>
      <c r="O304" s="142"/>
      <c r="P304" s="143"/>
      <c r="Q304" s="163"/>
      <c r="R304" s="120"/>
      <c r="S304" s="110"/>
      <c r="T304" s="110"/>
    </row>
    <row r="305" spans="1:20" s="65" customFormat="1">
      <c r="A305" s="140" t="s">
        <v>448</v>
      </c>
      <c r="B305" s="138" t="s">
        <v>301</v>
      </c>
      <c r="C305" s="170"/>
      <c r="D305" s="110"/>
      <c r="E305" s="110"/>
      <c r="F305" s="107" t="s">
        <v>449</v>
      </c>
      <c r="G305" s="110"/>
      <c r="H305" s="110"/>
      <c r="I305" s="110"/>
      <c r="J305" s="141">
        <f>SUM(J303:J304)</f>
        <v>0</v>
      </c>
      <c r="K305" s="142"/>
      <c r="L305" s="141">
        <f>SUM(L303:L304)</f>
        <v>0</v>
      </c>
      <c r="M305" s="142"/>
      <c r="N305" s="141">
        <f>SUM(N303:N304)</f>
        <v>0</v>
      </c>
      <c r="O305" s="169">
        <f>IF(N$51=0,0,N305/N$51)</f>
        <v>0</v>
      </c>
      <c r="P305" s="141">
        <f>SUM(P303:P304)</f>
        <v>0</v>
      </c>
      <c r="Q305" s="113">
        <f>IF(P$57=0,0,P305/P$57)</f>
        <v>0</v>
      </c>
      <c r="R305" s="120"/>
      <c r="S305" s="110"/>
      <c r="T305" s="110"/>
    </row>
    <row r="306" spans="1:20" s="65" customFormat="1" ht="6.75" customHeight="1">
      <c r="A306" s="138" t="s">
        <v>301</v>
      </c>
      <c r="B306" s="138"/>
      <c r="C306" s="170"/>
      <c r="D306" s="110"/>
      <c r="E306" s="110"/>
      <c r="F306" s="110"/>
      <c r="G306" s="110"/>
      <c r="H306" s="110"/>
      <c r="I306" s="110"/>
      <c r="J306" s="142"/>
      <c r="K306" s="142"/>
      <c r="L306" s="142"/>
      <c r="M306" s="142"/>
      <c r="N306" s="142"/>
      <c r="O306" s="142"/>
      <c r="P306" s="142"/>
      <c r="Q306" s="163"/>
      <c r="R306" s="120"/>
      <c r="S306" s="110"/>
      <c r="T306" s="110"/>
    </row>
    <row r="307" spans="1:20" s="65" customFormat="1" ht="13.5" thickBot="1">
      <c r="A307" s="138" t="s">
        <v>301</v>
      </c>
      <c r="B307" s="140"/>
      <c r="C307" s="105"/>
      <c r="D307" s="110"/>
      <c r="E307" s="145" t="s">
        <v>450</v>
      </c>
      <c r="F307" s="110"/>
      <c r="G307" s="110"/>
      <c r="H307" s="110"/>
      <c r="I307" s="110"/>
      <c r="J307" s="175">
        <f>+J301-J305</f>
        <v>22044.529999999973</v>
      </c>
      <c r="K307" s="142"/>
      <c r="L307" s="175">
        <f>+L301-L305</f>
        <v>16293.089999999997</v>
      </c>
      <c r="M307" s="142"/>
      <c r="N307" s="175">
        <f>+N301-N305</f>
        <v>-41548.570000000007</v>
      </c>
      <c r="O307" s="169">
        <f>IF(N$51=0,0,N307/N$51)</f>
        <v>0</v>
      </c>
      <c r="P307" s="175">
        <f>+P301-P305</f>
        <v>160778.16000000003</v>
      </c>
      <c r="Q307" s="113">
        <f>IF(P$57=0,0,P307/P$57)</f>
        <v>5.4532275848667502E-2</v>
      </c>
      <c r="R307" s="120"/>
      <c r="S307" s="110"/>
      <c r="T307" s="110"/>
    </row>
    <row r="308" spans="1:20" s="77" customFormat="1" ht="13.5" thickTop="1">
      <c r="A308" s="138"/>
      <c r="B308" s="138"/>
      <c r="C308" s="170"/>
      <c r="D308" s="110"/>
      <c r="E308" s="110"/>
      <c r="F308" s="107"/>
      <c r="G308" s="110"/>
      <c r="H308" s="105"/>
      <c r="I308" s="105"/>
      <c r="J308" s="176"/>
      <c r="K308" s="105"/>
      <c r="L308" s="176"/>
      <c r="M308" s="120"/>
      <c r="N308" s="176"/>
      <c r="O308" s="120"/>
      <c r="P308" s="176"/>
      <c r="Q308" s="177"/>
      <c r="R308" s="105"/>
      <c r="S308" s="176"/>
      <c r="T308" s="176"/>
    </row>
    <row r="309" spans="1:20" outlineLevel="1">
      <c r="A309" s="140"/>
      <c r="B309" s="178" t="s">
        <v>451</v>
      </c>
      <c r="C309" s="131"/>
      <c r="D309" s="131"/>
      <c r="E309" s="131"/>
      <c r="F309" s="131"/>
      <c r="G309" s="131"/>
      <c r="H309" s="131"/>
      <c r="I309" s="131"/>
      <c r="J309" s="131"/>
      <c r="K309" s="131"/>
      <c r="L309" s="131"/>
      <c r="M309" s="105"/>
      <c r="N309" s="131"/>
      <c r="O309" s="105"/>
      <c r="P309" s="131"/>
      <c r="Q309" s="179"/>
      <c r="R309" s="105"/>
      <c r="S309" s="105"/>
      <c r="T309" s="105"/>
    </row>
    <row r="310" spans="1:20" ht="6" customHeight="1" outlineLevel="1">
      <c r="A310" s="138"/>
      <c r="B310" s="140"/>
      <c r="C310" s="105"/>
      <c r="D310" s="105"/>
      <c r="E310" s="105"/>
      <c r="F310" s="105"/>
      <c r="G310" s="105"/>
      <c r="H310" s="105"/>
      <c r="I310" s="105"/>
      <c r="J310" s="143"/>
      <c r="K310" s="142"/>
      <c r="L310" s="143"/>
      <c r="M310" s="142"/>
      <c r="N310" s="143"/>
      <c r="O310" s="142"/>
      <c r="P310" s="143"/>
      <c r="Q310" s="179"/>
      <c r="R310" s="105"/>
      <c r="S310" s="105"/>
      <c r="T310" s="105"/>
    </row>
    <row r="311" spans="1:20" s="64" customFormat="1">
      <c r="A311" s="180" t="s">
        <v>451</v>
      </c>
      <c r="B311" s="181"/>
      <c r="C311" s="173"/>
      <c r="D311" s="173"/>
      <c r="E311" s="173" t="s">
        <v>452</v>
      </c>
      <c r="F311" s="173"/>
      <c r="G311" s="173"/>
      <c r="H311" s="173"/>
      <c r="I311" s="173"/>
      <c r="J311" s="182">
        <f>SUM(J309:J310)</f>
        <v>0</v>
      </c>
      <c r="K311" s="183"/>
      <c r="L311" s="182">
        <f>SUM(L309:L310)</f>
        <v>0</v>
      </c>
      <c r="M311" s="183"/>
      <c r="N311" s="182">
        <f>SUM(N309:N310)</f>
        <v>0</v>
      </c>
      <c r="O311" s="184"/>
      <c r="P311" s="182">
        <f>SUM(P309:P310)</f>
        <v>0</v>
      </c>
      <c r="Q311" s="185"/>
      <c r="R311" s="173"/>
      <c r="S311" s="173"/>
      <c r="T311" s="173"/>
    </row>
    <row r="312" spans="1:20">
      <c r="A312" s="186"/>
      <c r="B312" s="140"/>
      <c r="C312" s="105"/>
      <c r="D312" s="105"/>
      <c r="E312" s="105"/>
      <c r="F312" s="105"/>
      <c r="G312" s="105"/>
      <c r="H312" s="105"/>
      <c r="I312" s="105"/>
      <c r="J312" s="170"/>
      <c r="K312" s="170"/>
      <c r="L312" s="170"/>
      <c r="M312" s="170"/>
      <c r="N312" s="170"/>
      <c r="O312" s="170"/>
      <c r="P312" s="170"/>
      <c r="Q312" s="187"/>
      <c r="R312" s="170"/>
      <c r="S312" s="170"/>
      <c r="T312" s="105"/>
    </row>
    <row r="313" spans="1:20">
      <c r="A313" s="186"/>
      <c r="B313" s="138"/>
      <c r="C313" s="170"/>
      <c r="D313" s="108"/>
      <c r="E313" s="108"/>
      <c r="F313" s="108"/>
      <c r="G313" s="108"/>
      <c r="H313" s="105"/>
      <c r="I313" s="105"/>
      <c r="J313" s="176"/>
      <c r="K313" s="105"/>
      <c r="L313" s="176"/>
      <c r="M313" s="120"/>
      <c r="N313" s="176"/>
      <c r="O313" s="120"/>
      <c r="P313" s="176"/>
      <c r="Q313" s="179"/>
      <c r="R313" s="105"/>
      <c r="S313" s="105"/>
      <c r="T313" s="105"/>
    </row>
  </sheetData>
  <pageMargins left="0.15" right="0.2" top="0.25" bottom="0.25" header="0.18" footer="0.25"/>
  <pageSetup scale="71" fitToHeight="0" orientation="portrait" errors="blank" horizontalDpi="4294967292" r:id="rId1"/>
  <headerFooter alignWithMargins="0">
    <oddFooter>&amp;L&amp;F - &amp;A&amp;CPrinted &amp;D - &amp;T&amp;RPage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T291"/>
  <sheetViews>
    <sheetView showGridLines="0" topLeftCell="D7" zoomScale="75" zoomScaleNormal="75" workbookViewId="0">
      <pane xSplit="5" ySplit="5" topLeftCell="I12" activePane="bottomRight" state="frozen"/>
      <selection activeCell="D7" sqref="D7"/>
      <selection pane="topRight" activeCell="I7" sqref="I7"/>
      <selection pane="bottomLeft" activeCell="D12" sqref="D12"/>
      <selection pane="bottomRight" activeCell="S7" sqref="S1:Z1048576"/>
    </sheetView>
  </sheetViews>
  <sheetFormatPr defaultColWidth="13.85546875" defaultRowHeight="12.75" outlineLevelRow="1"/>
  <cols>
    <col min="1" max="1" width="110.28515625" style="61" customWidth="1"/>
    <col min="2" max="2" width="18.42578125" style="61" customWidth="1"/>
    <col min="3" max="3" width="13.85546875" style="61"/>
    <col min="4" max="4" width="6.85546875" style="61" customWidth="1"/>
    <col min="5" max="6" width="2.28515625" style="61" customWidth="1"/>
    <col min="7" max="7" width="28" style="61" customWidth="1"/>
    <col min="8" max="8" width="2.28515625" style="61" customWidth="1"/>
    <col min="9" max="9" width="2.140625" style="61" customWidth="1"/>
    <col min="10" max="10" width="12.28515625" style="77" customWidth="1"/>
    <col min="11" max="11" width="0.85546875" style="61" customWidth="1"/>
    <col min="12" max="12" width="12.28515625" style="77" customWidth="1"/>
    <col min="13" max="13" width="1.5703125" style="61" customWidth="1"/>
    <col min="14" max="14" width="12.28515625" style="77" customWidth="1"/>
    <col min="15" max="15" width="1.5703125" style="61" customWidth="1"/>
    <col min="16" max="16" width="12.28515625" style="77" customWidth="1"/>
    <col min="17" max="17" width="5.28515625" style="61" customWidth="1"/>
    <col min="18" max="18" width="1.42578125" style="61" customWidth="1"/>
    <col min="19" max="19" width="1.28515625" style="61" customWidth="1"/>
    <col min="20" max="16384" width="13.85546875" style="61"/>
  </cols>
  <sheetData>
    <row r="1" spans="1:20">
      <c r="D1" s="61" t="s">
        <v>291</v>
      </c>
      <c r="E1" s="61" t="s">
        <v>292</v>
      </c>
      <c r="F1" s="62"/>
      <c r="G1" s="63"/>
      <c r="J1" s="61" t="s">
        <v>293</v>
      </c>
      <c r="L1" s="61" t="s">
        <v>294</v>
      </c>
      <c r="N1" s="61" t="s">
        <v>295</v>
      </c>
      <c r="P1" s="64" t="s">
        <v>525</v>
      </c>
    </row>
    <row r="2" spans="1:20" outlineLevel="1">
      <c r="A2" s="105"/>
      <c r="B2" s="106"/>
      <c r="C2" s="105"/>
      <c r="D2" s="107"/>
      <c r="E2" s="107"/>
      <c r="F2" s="108"/>
      <c r="G2" s="109"/>
      <c r="H2" s="110"/>
      <c r="I2" s="111"/>
      <c r="J2" s="112">
        <v>0</v>
      </c>
      <c r="K2" s="111"/>
      <c r="L2" s="112">
        <v>0</v>
      </c>
      <c r="M2" s="111"/>
      <c r="N2" s="112">
        <v>0</v>
      </c>
      <c r="O2" s="111"/>
      <c r="P2" s="112">
        <v>0</v>
      </c>
      <c r="Q2" s="113">
        <f>IF(P$56=0,0,P2/P$56)</f>
        <v>0</v>
      </c>
      <c r="R2" s="114"/>
      <c r="S2" s="115"/>
      <c r="T2" s="105"/>
    </row>
    <row r="3" spans="1:20">
      <c r="D3" s="66"/>
      <c r="E3" s="66"/>
      <c r="F3" s="66"/>
      <c r="G3" s="66"/>
      <c r="H3" s="66"/>
      <c r="I3" s="66"/>
      <c r="J3" s="61" t="str">
        <f>TEXT(EDATE(DATEVALUE(RIGHT($N$3,2)&amp;"/1/"&amp;LEFT($N$3,4)),-2),"yyyy-mm")</f>
        <v>2016-01</v>
      </c>
      <c r="L3" s="61" t="str">
        <f>TEXT(EDATE(DATEVALUE(RIGHT($N$3,2)&amp;"/1/"&amp;LEFT($N$3,4)),-1),"yyyy-mm")</f>
        <v>2016-02</v>
      </c>
      <c r="N3" s="61" t="str">
        <f>D9</f>
        <v>2016-03</v>
      </c>
      <c r="P3" s="61"/>
    </row>
    <row r="4" spans="1:20">
      <c r="A4" s="61" t="str">
        <f>_xll.jBinder("MarkerCell")</f>
        <v>jBinderOption{MarkerCell}: This cell will be used to note the tab was created from the binder.</v>
      </c>
      <c r="B4" s="67" t="str">
        <f ca="1">_xll.ReportVariable("FinCube",B13:B291,1:1,2:2,_xll.Param("PL"&amp;IF(ExcludeIC=TRUE,",!Eliminated",""),District,System,,,,"*",,RIGHT(YearMonth,2),LEFT(YearMonth,4),,,1,,FALSE))</f>
        <v>OK!: ReportVariable Formula OK [jAction{}]</v>
      </c>
      <c r="D4" s="66"/>
      <c r="E4" s="66"/>
      <c r="F4" s="66"/>
      <c r="G4" s="66"/>
      <c r="H4" s="66"/>
      <c r="I4" s="66"/>
      <c r="J4" s="61" t="s">
        <v>296</v>
      </c>
      <c r="L4" s="61" t="s">
        <v>296</v>
      </c>
      <c r="N4" s="61" t="s">
        <v>296</v>
      </c>
      <c r="P4" s="61"/>
    </row>
    <row r="5" spans="1:20" ht="15">
      <c r="A5" s="61" t="str">
        <f>_xll.jBinder("ChooseSegmentListtoIterateThru","Dist")</f>
        <v>jBinderOption{ChooseSegmentListtoIterateThru|Dist}: Option "ChooseSegmentListtoIterateThru" has value "Dist"</v>
      </c>
      <c r="B5" s="61" t="str">
        <f ca="1">_xll.ReportDrill(,"JEQuery_WithStaged",_xll.PairGroup(_xll.PairExt("C:d","Accounts"),_xll.PairExt(System,"Systems","N"),_xll.PairExt("R:3","DateFrom","Y"),_xll.PairExt("R:3","DateTo","Y"),_xll.PairExt(District,"Districts"),_xll.PairExt("","SubSystems","n"),_xll.PairExt("","VendorCode","n"),_xll.PairExt("","AmountFrom","N"),_xll.PairExt("","AmountTo","n"),_xll.PairExt("R:4","Posting","Y")),"Drill To JEQuery")</f>
        <v>OK!: ReportDrill 'Drill To JEQuery' Formula OK [jAction{}]</v>
      </c>
      <c r="G5" s="68"/>
      <c r="J5" s="61"/>
      <c r="L5" s="61"/>
      <c r="N5" s="61"/>
      <c r="P5" s="61"/>
    </row>
    <row r="6" spans="1:20">
      <c r="A6" s="61" t="str">
        <f>_xll.jBinder("CreateSummaryTab","False")</f>
        <v>jBinderOption{CreateSummaryTab|False}: Option "CreateSummaryTab" has value "False"</v>
      </c>
      <c r="B6" s="116" t="str">
        <f ca="1">_xll.ReportDrill(,"JEQuery_WithStaged",_xll.PairGroup(_xll.PairExt("C:a","Accounts"),_xll.PairExt(System,"Systems","N"),_xll.PairExt("R:3","DateFrom","Y"),_xll.PairExt("R:3","DateTo","Y"),_xll.PairExt(District,"Districts"),_xll.PairExt("","SubSystems","n"),_xll.PairExt("","VendorCode","n"),_xll.PairExt("","AmountFrom","N"),_xll.PairExt("","AmountTo","n"),_xll.PairExt("R:4","Posting","Y")),"Drill To JEQuery")</f>
        <v>OK!: ReportDrill 'Drill To JEQuery' Formula OK [jAction{}]</v>
      </c>
      <c r="J6" s="61"/>
      <c r="L6" s="61"/>
      <c r="N6" s="61"/>
      <c r="P6" s="61"/>
    </row>
    <row r="7" spans="1:20" s="70" customFormat="1" ht="15.75">
      <c r="A7" s="61" t="str">
        <f ca="1">_xll.jBinder("Dist",District)</f>
        <v>jBinderOption{Dist||N7}: "Dist" can iterate on cell "N7"</v>
      </c>
      <c r="B7" s="117">
        <f>DATEVALUE(RIGHT(YearMonth,2)&amp;"/1/"&amp;LEFT(YearMonth,4))</f>
        <v>42430</v>
      </c>
      <c r="C7" s="61"/>
      <c r="D7" s="69" t="s">
        <v>297</v>
      </c>
      <c r="M7" s="71" t="s">
        <v>298</v>
      </c>
      <c r="N7" s="73" t="s">
        <v>299</v>
      </c>
      <c r="P7" s="72"/>
    </row>
    <row r="8" spans="1:20" s="70" customFormat="1" ht="15.75">
      <c r="A8" s="61" t="str">
        <f>_xll.jBinder("TabSuffix","_IS210")</f>
        <v>jBinderOption{TabSuffix|_IS210}: Option "TabSuffix" has value "_IS210"</v>
      </c>
      <c r="B8" s="117">
        <f>DATEVALUE("1/1/"&amp;LEFT(YearMonth,4))</f>
        <v>42370</v>
      </c>
      <c r="D8" s="69" t="s">
        <v>300</v>
      </c>
      <c r="N8" s="73" t="s">
        <v>301</v>
      </c>
      <c r="T8" s="118"/>
    </row>
    <row r="9" spans="1:20" s="70" customFormat="1" ht="15.75">
      <c r="A9" s="61"/>
      <c r="D9" s="74" t="s">
        <v>554</v>
      </c>
      <c r="J9" s="119" t="s">
        <v>527</v>
      </c>
      <c r="K9" s="75"/>
      <c r="L9" s="119" t="s">
        <v>527</v>
      </c>
      <c r="M9" s="75"/>
      <c r="N9" s="119" t="s">
        <v>527</v>
      </c>
      <c r="O9" s="75"/>
      <c r="P9" s="75"/>
      <c r="Q9" s="75"/>
      <c r="R9" s="75"/>
    </row>
    <row r="10" spans="1:20" s="70" customFormat="1" ht="15">
      <c r="A10" s="105"/>
      <c r="B10" s="120"/>
      <c r="C10" s="120"/>
      <c r="D10" s="120"/>
      <c r="E10" s="120"/>
      <c r="F10" s="120"/>
      <c r="G10" s="120"/>
      <c r="H10" s="120"/>
      <c r="I10" s="120"/>
      <c r="J10" s="121" t="s">
        <v>302</v>
      </c>
      <c r="K10" s="122"/>
      <c r="L10" s="121"/>
      <c r="M10" s="122"/>
      <c r="N10" s="123"/>
      <c r="O10" s="122"/>
      <c r="P10" s="121"/>
      <c r="Q10" s="124"/>
      <c r="R10" s="120"/>
      <c r="S10" s="120"/>
      <c r="T10" s="120"/>
    </row>
    <row r="11" spans="1:20" s="70" customFormat="1" ht="15.75" thickBot="1">
      <c r="A11" s="105"/>
      <c r="B11" s="125" t="s">
        <v>303</v>
      </c>
      <c r="C11" s="120"/>
      <c r="D11" s="120"/>
      <c r="E11" s="120"/>
      <c r="F11" s="120"/>
      <c r="G11" s="120"/>
      <c r="H11" s="120"/>
      <c r="I11" s="120"/>
      <c r="J11" s="126">
        <f>IFERROR(EDATE($B$7,-2),"")</f>
        <v>42370</v>
      </c>
      <c r="K11" s="127"/>
      <c r="L11" s="126">
        <f>IFERROR(EDATE($B$7,-1),"")</f>
        <v>42401</v>
      </c>
      <c r="M11" s="127"/>
      <c r="N11" s="126">
        <f>IFERROR($B$7,"")</f>
        <v>42430</v>
      </c>
      <c r="O11" s="128"/>
      <c r="P11" s="129" t="s">
        <v>528</v>
      </c>
      <c r="Q11" s="130"/>
      <c r="R11" s="120"/>
      <c r="S11" s="120"/>
      <c r="T11" s="120"/>
    </row>
    <row r="12" spans="1:20" s="75" customFormat="1">
      <c r="A12" s="120"/>
      <c r="B12" s="131"/>
      <c r="C12" s="120"/>
      <c r="D12" s="120"/>
      <c r="E12" s="120" t="s">
        <v>305</v>
      </c>
      <c r="F12" s="132"/>
      <c r="G12" s="133"/>
      <c r="H12" s="120"/>
      <c r="I12" s="120"/>
      <c r="J12" s="134">
        <f>IFERROR(NETWORKDAYS(J11,EOMONTH(J11,0)),"")</f>
        <v>21</v>
      </c>
      <c r="K12" s="120"/>
      <c r="L12" s="134">
        <f>IFERROR(NETWORKDAYS(L11,EOMONTH(L11,0)),"")</f>
        <v>21</v>
      </c>
      <c r="M12" s="120"/>
      <c r="N12" s="134">
        <f>IFERROR(NETWORKDAYS(N11,EOMONTH(N11,0)),"")</f>
        <v>23</v>
      </c>
      <c r="O12" s="120"/>
      <c r="P12" s="134">
        <f>IFERROR(NETWORKDAYS($B$8,EOMONTH($B$7,0)),"")</f>
        <v>65</v>
      </c>
      <c r="Q12" s="76"/>
      <c r="R12" s="120"/>
      <c r="S12" s="120"/>
      <c r="T12" s="120"/>
    </row>
    <row r="13" spans="1:20" s="75" customFormat="1" hidden="1">
      <c r="A13" s="120"/>
      <c r="B13" s="131" t="s">
        <v>304</v>
      </c>
      <c r="C13" s="120"/>
      <c r="D13" s="120"/>
      <c r="E13" s="133"/>
      <c r="F13" s="132"/>
      <c r="G13" s="133"/>
      <c r="H13" s="120"/>
      <c r="I13" s="120"/>
      <c r="J13" s="134"/>
      <c r="K13" s="120"/>
      <c r="L13" s="134"/>
      <c r="M13" s="120"/>
      <c r="N13" s="134"/>
      <c r="O13" s="120"/>
      <c r="P13" s="134"/>
      <c r="Q13" s="135"/>
      <c r="R13" s="120"/>
      <c r="S13" s="120"/>
      <c r="T13" s="120"/>
    </row>
    <row r="14" spans="1:20" s="65" customFormat="1" ht="4.5" customHeight="1">
      <c r="A14" s="110"/>
      <c r="B14" s="110"/>
      <c r="C14" s="110"/>
      <c r="D14" s="110"/>
      <c r="E14" s="110"/>
      <c r="F14" s="110"/>
      <c r="G14" s="110"/>
      <c r="H14" s="110"/>
      <c r="I14" s="110"/>
      <c r="J14" s="111"/>
      <c r="K14" s="120"/>
      <c r="L14" s="111"/>
      <c r="M14" s="120"/>
      <c r="N14" s="111"/>
      <c r="O14" s="120"/>
      <c r="P14" s="111"/>
      <c r="Q14" s="136"/>
      <c r="R14" s="120"/>
      <c r="S14" s="120"/>
      <c r="T14" s="110"/>
    </row>
    <row r="15" spans="1:20" s="65" customFormat="1" outlineLevel="1">
      <c r="A15" s="110"/>
      <c r="B15" s="110"/>
      <c r="C15" s="110"/>
      <c r="D15" s="110"/>
      <c r="E15" s="110"/>
      <c r="F15" s="110"/>
      <c r="G15" s="110"/>
      <c r="H15" s="110"/>
      <c r="I15" s="110"/>
      <c r="J15" s="111"/>
      <c r="K15" s="120"/>
      <c r="L15" s="111"/>
      <c r="M15" s="120"/>
      <c r="N15" s="111"/>
      <c r="O15" s="120"/>
      <c r="P15" s="111"/>
      <c r="Q15" s="137"/>
      <c r="R15" s="120"/>
      <c r="S15" s="120"/>
      <c r="T15" s="110"/>
    </row>
    <row r="16" spans="1:20" outlineLevel="1">
      <c r="A16" s="105"/>
      <c r="B16" s="106" t="s">
        <v>306</v>
      </c>
      <c r="C16" s="105"/>
      <c r="D16" s="107">
        <v>31000</v>
      </c>
      <c r="E16" s="107" t="s">
        <v>307</v>
      </c>
      <c r="F16" s="108"/>
      <c r="G16" s="109"/>
      <c r="H16" s="110"/>
      <c r="I16" s="111"/>
      <c r="J16" s="112">
        <v>2860.09</v>
      </c>
      <c r="K16" s="111"/>
      <c r="L16" s="112">
        <v>2946.13</v>
      </c>
      <c r="M16" s="111"/>
      <c r="N16" s="112">
        <v>6488.31</v>
      </c>
      <c r="O16" s="111"/>
      <c r="P16" s="112">
        <v>12294.53</v>
      </c>
      <c r="Q16" s="113">
        <f t="shared" ref="Q16:Q23" si="0">IF(P$56=0,0,P16/P$56)</f>
        <v>1.7201504914291954E-2</v>
      </c>
      <c r="R16" s="114"/>
      <c r="S16" s="115"/>
      <c r="T16" s="105"/>
    </row>
    <row r="17" spans="1:20" outlineLevel="1">
      <c r="A17" s="105"/>
      <c r="B17" s="106" t="s">
        <v>308</v>
      </c>
      <c r="C17" s="105"/>
      <c r="D17" s="107">
        <v>31005</v>
      </c>
      <c r="E17" s="107" t="s">
        <v>309</v>
      </c>
      <c r="F17" s="108"/>
      <c r="G17" s="109"/>
      <c r="H17" s="110"/>
      <c r="I17" s="111"/>
      <c r="J17" s="112">
        <v>3587.3</v>
      </c>
      <c r="K17" s="111"/>
      <c r="L17" s="112">
        <v>3147.06</v>
      </c>
      <c r="M17" s="111"/>
      <c r="N17" s="112">
        <v>6618.52</v>
      </c>
      <c r="O17" s="111"/>
      <c r="P17" s="112">
        <v>13352.88</v>
      </c>
      <c r="Q17" s="113">
        <f t="shared" si="0"/>
        <v>1.8682262025465857E-2</v>
      </c>
      <c r="R17" s="114"/>
      <c r="S17" s="115"/>
      <c r="T17" s="105"/>
    </row>
    <row r="18" spans="1:20" outlineLevel="1">
      <c r="A18" s="105"/>
      <c r="B18" s="106" t="s">
        <v>308</v>
      </c>
      <c r="C18" s="105"/>
      <c r="D18" s="107">
        <v>31010</v>
      </c>
      <c r="E18" s="107" t="s">
        <v>310</v>
      </c>
      <c r="F18" s="108"/>
      <c r="G18" s="109"/>
      <c r="H18" s="110"/>
      <c r="I18" s="111"/>
      <c r="J18" s="112">
        <v>1115.02</v>
      </c>
      <c r="K18" s="111"/>
      <c r="L18" s="112">
        <v>971.08</v>
      </c>
      <c r="M18" s="111"/>
      <c r="N18" s="112">
        <v>2461.66</v>
      </c>
      <c r="O18" s="111"/>
      <c r="P18" s="112">
        <v>4547.76</v>
      </c>
      <c r="Q18" s="113">
        <f t="shared" si="0"/>
        <v>6.3628553502265142E-3</v>
      </c>
      <c r="R18" s="114"/>
      <c r="S18" s="115"/>
      <c r="T18" s="105"/>
    </row>
    <row r="19" spans="1:20" outlineLevel="1">
      <c r="A19" s="105"/>
      <c r="B19" s="106" t="s">
        <v>308</v>
      </c>
      <c r="C19" s="105"/>
      <c r="D19" s="107">
        <v>32000</v>
      </c>
      <c r="E19" s="107" t="s">
        <v>311</v>
      </c>
      <c r="F19" s="108"/>
      <c r="G19" s="109"/>
      <c r="H19" s="110"/>
      <c r="I19" s="111"/>
      <c r="J19" s="112">
        <v>123716.86</v>
      </c>
      <c r="K19" s="111"/>
      <c r="L19" s="112">
        <v>123719.06</v>
      </c>
      <c r="M19" s="111"/>
      <c r="N19" s="112">
        <v>124236.08</v>
      </c>
      <c r="O19" s="111"/>
      <c r="P19" s="112">
        <v>371672</v>
      </c>
      <c r="Q19" s="113">
        <f t="shared" si="0"/>
        <v>0.52001318753174941</v>
      </c>
      <c r="R19" s="114"/>
      <c r="S19" s="115"/>
      <c r="T19" s="105"/>
    </row>
    <row r="20" spans="1:20" outlineLevel="1">
      <c r="A20" s="105"/>
      <c r="B20" s="106" t="s">
        <v>308</v>
      </c>
      <c r="C20" s="105"/>
      <c r="D20" s="107">
        <v>32001</v>
      </c>
      <c r="E20" s="107" t="s">
        <v>312</v>
      </c>
      <c r="F20" s="108"/>
      <c r="G20" s="109"/>
      <c r="H20" s="110"/>
      <c r="I20" s="111"/>
      <c r="J20" s="112">
        <v>3162.26</v>
      </c>
      <c r="K20" s="111"/>
      <c r="L20" s="112">
        <v>2052.96</v>
      </c>
      <c r="M20" s="111"/>
      <c r="N20" s="112">
        <v>3425.48</v>
      </c>
      <c r="O20" s="111"/>
      <c r="P20" s="112">
        <v>8640.7000000000007</v>
      </c>
      <c r="Q20" s="113">
        <f t="shared" si="0"/>
        <v>1.2089363604214436E-2</v>
      </c>
      <c r="R20" s="114"/>
      <c r="S20" s="115"/>
      <c r="T20" s="105"/>
    </row>
    <row r="21" spans="1:20" outlineLevel="1">
      <c r="A21" s="105"/>
      <c r="B21" s="106" t="s">
        <v>308</v>
      </c>
      <c r="C21" s="105"/>
      <c r="D21" s="107">
        <v>33000</v>
      </c>
      <c r="E21" s="107" t="s">
        <v>313</v>
      </c>
      <c r="F21" s="108"/>
      <c r="G21" s="109"/>
      <c r="H21" s="110"/>
      <c r="I21" s="111"/>
      <c r="J21" s="112">
        <v>97964.09</v>
      </c>
      <c r="K21" s="111"/>
      <c r="L21" s="112">
        <v>98945.93</v>
      </c>
      <c r="M21" s="111"/>
      <c r="N21" s="112">
        <v>99538.87</v>
      </c>
      <c r="O21" s="111"/>
      <c r="P21" s="112">
        <v>296448.89</v>
      </c>
      <c r="Q21" s="113">
        <f t="shared" si="0"/>
        <v>0.41476713938405091</v>
      </c>
      <c r="R21" s="114"/>
      <c r="S21" s="115"/>
      <c r="T21" s="105"/>
    </row>
    <row r="22" spans="1:20" outlineLevel="1">
      <c r="A22" s="105"/>
      <c r="B22" s="106" t="s">
        <v>308</v>
      </c>
      <c r="C22" s="105"/>
      <c r="D22" s="107">
        <v>33001</v>
      </c>
      <c r="E22" s="107" t="s">
        <v>529</v>
      </c>
      <c r="F22" s="108"/>
      <c r="G22" s="109"/>
      <c r="H22" s="110"/>
      <c r="I22" s="111"/>
      <c r="J22" s="112">
        <v>46.34</v>
      </c>
      <c r="K22" s="111"/>
      <c r="L22" s="112">
        <v>46.34</v>
      </c>
      <c r="M22" s="111"/>
      <c r="N22" s="112">
        <v>57.93</v>
      </c>
      <c r="O22" s="111"/>
      <c r="P22" s="112">
        <v>150.61000000000001</v>
      </c>
      <c r="Q22" s="113">
        <f t="shared" si="0"/>
        <v>2.1072124393055379E-4</v>
      </c>
      <c r="R22" s="114"/>
      <c r="S22" s="115"/>
      <c r="T22" s="105"/>
    </row>
    <row r="23" spans="1:20" outlineLevel="1">
      <c r="A23" s="105"/>
      <c r="B23" s="106" t="s">
        <v>308</v>
      </c>
      <c r="C23" s="105"/>
      <c r="D23" s="107">
        <v>33011</v>
      </c>
      <c r="E23" s="107" t="s">
        <v>314</v>
      </c>
      <c r="F23" s="108"/>
      <c r="G23" s="109"/>
      <c r="H23" s="110"/>
      <c r="I23" s="111"/>
      <c r="J23" s="112">
        <v>1336.42</v>
      </c>
      <c r="K23" s="111"/>
      <c r="L23" s="112">
        <v>1091.25</v>
      </c>
      <c r="M23" s="111"/>
      <c r="N23" s="112">
        <v>1597.89</v>
      </c>
      <c r="O23" s="111"/>
      <c r="P23" s="112">
        <v>4025.56</v>
      </c>
      <c r="Q23" s="113">
        <f t="shared" si="0"/>
        <v>5.6322356464848285E-3</v>
      </c>
      <c r="R23" s="114"/>
      <c r="S23" s="115"/>
      <c r="T23" s="105"/>
    </row>
    <row r="24" spans="1:20" s="65" customFormat="1" ht="4.5" customHeight="1" outlineLevel="1">
      <c r="A24" s="110"/>
      <c r="B24" s="138" t="s">
        <v>301</v>
      </c>
      <c r="C24" s="110"/>
      <c r="D24" s="110"/>
      <c r="E24" s="110"/>
      <c r="F24" s="110"/>
      <c r="G24" s="110"/>
      <c r="H24" s="110"/>
      <c r="I24" s="110"/>
      <c r="J24" s="139"/>
      <c r="K24" s="120"/>
      <c r="L24" s="139"/>
      <c r="M24" s="120"/>
      <c r="N24" s="139"/>
      <c r="O24" s="120"/>
      <c r="P24" s="139"/>
      <c r="Q24" s="137"/>
      <c r="R24" s="120"/>
      <c r="S24" s="120"/>
      <c r="T24" s="110"/>
    </row>
    <row r="25" spans="1:20" s="65" customFormat="1">
      <c r="A25" s="140" t="s">
        <v>306</v>
      </c>
      <c r="B25" s="140" t="s">
        <v>301</v>
      </c>
      <c r="C25" s="110"/>
      <c r="D25" s="110"/>
      <c r="E25" s="110"/>
      <c r="F25" s="110" t="s">
        <v>315</v>
      </c>
      <c r="G25" s="110"/>
      <c r="H25" s="110"/>
      <c r="I25" s="110"/>
      <c r="J25" s="141">
        <f>SUM(J15:J24)</f>
        <v>233788.38</v>
      </c>
      <c r="K25" s="142"/>
      <c r="L25" s="141">
        <f>SUM(L15:L24)</f>
        <v>232919.81</v>
      </c>
      <c r="M25" s="142"/>
      <c r="N25" s="141">
        <f>SUM(N15:N24)</f>
        <v>244424.74000000002</v>
      </c>
      <c r="O25" s="142"/>
      <c r="P25" s="141">
        <f>SUM(P15:P24)</f>
        <v>711132.93</v>
      </c>
      <c r="Q25" s="113">
        <f>IF(P$56=0,0,P25/P$56)</f>
        <v>0.99495926970041448</v>
      </c>
      <c r="R25" s="120"/>
      <c r="S25" s="120"/>
      <c r="T25" s="110"/>
    </row>
    <row r="26" spans="1:20" s="65" customFormat="1" outlineLevel="1">
      <c r="A26" s="138" t="s">
        <v>301</v>
      </c>
      <c r="B26" s="138" t="s">
        <v>301</v>
      </c>
      <c r="C26" s="110"/>
      <c r="D26" s="110"/>
      <c r="E26" s="110"/>
      <c r="F26" s="110"/>
      <c r="G26" s="110"/>
      <c r="H26" s="110"/>
      <c r="I26" s="110"/>
      <c r="J26" s="142"/>
      <c r="K26" s="142"/>
      <c r="L26" s="142"/>
      <c r="M26" s="142"/>
      <c r="N26" s="142"/>
      <c r="O26" s="142"/>
      <c r="P26" s="142"/>
      <c r="Q26" s="137"/>
      <c r="R26" s="120"/>
      <c r="S26" s="120"/>
      <c r="T26" s="110"/>
    </row>
    <row r="27" spans="1:20" outlineLevel="1">
      <c r="A27" s="105"/>
      <c r="B27" s="106" t="s">
        <v>316</v>
      </c>
      <c r="C27" s="105"/>
      <c r="D27" s="107"/>
      <c r="E27" s="107"/>
      <c r="F27" s="108"/>
      <c r="G27" s="109"/>
      <c r="H27" s="110"/>
      <c r="I27" s="111"/>
      <c r="J27" s="112"/>
      <c r="K27" s="111"/>
      <c r="L27" s="112"/>
      <c r="M27" s="111"/>
      <c r="N27" s="112"/>
      <c r="O27" s="111"/>
      <c r="P27" s="112"/>
      <c r="Q27" s="113"/>
      <c r="R27" s="114"/>
      <c r="S27" s="115"/>
      <c r="T27" s="105"/>
    </row>
    <row r="28" spans="1:20" s="65" customFormat="1" ht="5.0999999999999996" customHeight="1" outlineLevel="1">
      <c r="A28" s="138" t="s">
        <v>301</v>
      </c>
      <c r="B28" s="138" t="s">
        <v>301</v>
      </c>
      <c r="C28" s="110"/>
      <c r="D28" s="108"/>
      <c r="E28" s="108"/>
      <c r="F28" s="108"/>
      <c r="G28" s="108"/>
      <c r="H28" s="110"/>
      <c r="I28" s="110"/>
      <c r="J28" s="143"/>
      <c r="K28" s="142"/>
      <c r="L28" s="143"/>
      <c r="M28" s="142"/>
      <c r="N28" s="143"/>
      <c r="O28" s="142"/>
      <c r="P28" s="143"/>
      <c r="Q28" s="137"/>
      <c r="R28" s="120"/>
      <c r="S28" s="120"/>
      <c r="T28" s="110"/>
    </row>
    <row r="29" spans="1:20" s="65" customFormat="1">
      <c r="A29" s="140" t="s">
        <v>316</v>
      </c>
      <c r="B29" s="140" t="s">
        <v>301</v>
      </c>
      <c r="C29" s="110"/>
      <c r="D29" s="110"/>
      <c r="E29" s="110"/>
      <c r="F29" s="108" t="s">
        <v>317</v>
      </c>
      <c r="G29" s="110"/>
      <c r="H29" s="110"/>
      <c r="I29" s="110"/>
      <c r="J29" s="141">
        <f>SUM(J27:J28)</f>
        <v>0</v>
      </c>
      <c r="K29" s="142"/>
      <c r="L29" s="141">
        <f>SUM(L27:L28)</f>
        <v>0</v>
      </c>
      <c r="M29" s="142"/>
      <c r="N29" s="141">
        <f>SUM(N27:N28)</f>
        <v>0</v>
      </c>
      <c r="O29" s="142"/>
      <c r="P29" s="141">
        <f>SUM(P27:P28)</f>
        <v>0</v>
      </c>
      <c r="Q29" s="113">
        <f>IF(P$56=0,0,P29/P$56)</f>
        <v>0</v>
      </c>
      <c r="R29" s="120"/>
      <c r="S29" s="120"/>
      <c r="T29" s="110"/>
    </row>
    <row r="30" spans="1:20" s="65" customFormat="1" outlineLevel="1">
      <c r="A30" s="138" t="s">
        <v>301</v>
      </c>
      <c r="B30" s="140"/>
      <c r="C30" s="110"/>
      <c r="D30" s="110"/>
      <c r="E30" s="110"/>
      <c r="F30" s="110"/>
      <c r="G30" s="110"/>
      <c r="H30" s="110"/>
      <c r="I30" s="110"/>
      <c r="J30" s="142"/>
      <c r="K30" s="142"/>
      <c r="L30" s="142"/>
      <c r="M30" s="142"/>
      <c r="N30" s="142"/>
      <c r="O30" s="142"/>
      <c r="P30" s="142"/>
      <c r="Q30" s="137"/>
      <c r="R30" s="120"/>
      <c r="S30" s="120"/>
      <c r="T30" s="110"/>
    </row>
    <row r="31" spans="1:20" s="65" customFormat="1" outlineLevel="1">
      <c r="A31" s="140" t="s">
        <v>301</v>
      </c>
      <c r="B31" s="140" t="s">
        <v>301</v>
      </c>
      <c r="C31" s="110"/>
      <c r="D31" s="110"/>
      <c r="E31" s="110"/>
      <c r="F31" s="110"/>
      <c r="G31" s="110"/>
      <c r="H31" s="110"/>
      <c r="I31" s="110"/>
      <c r="J31" s="142"/>
      <c r="K31" s="142"/>
      <c r="L31" s="142"/>
      <c r="M31" s="142"/>
      <c r="N31" s="142"/>
      <c r="O31" s="142"/>
      <c r="P31" s="142"/>
      <c r="Q31" s="137"/>
      <c r="R31" s="120"/>
      <c r="S31" s="120"/>
      <c r="T31" s="110"/>
    </row>
    <row r="32" spans="1:20" outlineLevel="1">
      <c r="A32" s="105"/>
      <c r="B32" s="106" t="s">
        <v>318</v>
      </c>
      <c r="C32" s="105"/>
      <c r="D32" s="107">
        <v>35514</v>
      </c>
      <c r="E32" s="107" t="s">
        <v>530</v>
      </c>
      <c r="F32" s="108"/>
      <c r="G32" s="109"/>
      <c r="H32" s="110"/>
      <c r="I32" s="111"/>
      <c r="J32" s="112">
        <v>0</v>
      </c>
      <c r="K32" s="111"/>
      <c r="L32" s="112">
        <v>198.6</v>
      </c>
      <c r="M32" s="111"/>
      <c r="N32" s="112">
        <v>142.19999999999999</v>
      </c>
      <c r="O32" s="111"/>
      <c r="P32" s="112">
        <v>340.8</v>
      </c>
      <c r="Q32" s="113">
        <f t="shared" ref="Q32:Q33" si="1">IF(P$56=0,0,P32/P$56)</f>
        <v>4.7681959983754548E-4</v>
      </c>
      <c r="R32" s="114"/>
      <c r="S32" s="115"/>
      <c r="T32" s="105"/>
    </row>
    <row r="33" spans="1:20" outlineLevel="1">
      <c r="A33" s="105"/>
      <c r="B33" s="106" t="s">
        <v>308</v>
      </c>
      <c r="C33" s="105"/>
      <c r="D33" s="107">
        <v>35518</v>
      </c>
      <c r="E33" s="107" t="s">
        <v>531</v>
      </c>
      <c r="F33" s="108"/>
      <c r="G33" s="109"/>
      <c r="H33" s="110"/>
      <c r="I33" s="111"/>
      <c r="J33" s="112">
        <v>0</v>
      </c>
      <c r="K33" s="111"/>
      <c r="L33" s="112">
        <v>0</v>
      </c>
      <c r="M33" s="111"/>
      <c r="N33" s="112">
        <v>650.24</v>
      </c>
      <c r="O33" s="111"/>
      <c r="P33" s="112">
        <v>650.24</v>
      </c>
      <c r="Q33" s="113">
        <f t="shared" si="1"/>
        <v>9.0976284213135439E-4</v>
      </c>
      <c r="R33" s="114"/>
      <c r="S33" s="115"/>
      <c r="T33" s="105"/>
    </row>
    <row r="34" spans="1:20" s="65" customFormat="1" ht="5.0999999999999996" customHeight="1" outlineLevel="1">
      <c r="A34" s="140" t="s">
        <v>301</v>
      </c>
      <c r="B34" s="138" t="s">
        <v>301</v>
      </c>
      <c r="C34" s="110"/>
      <c r="D34" s="108"/>
      <c r="E34" s="108"/>
      <c r="F34" s="108"/>
      <c r="G34" s="108"/>
      <c r="H34" s="110"/>
      <c r="I34" s="110"/>
      <c r="J34" s="143"/>
      <c r="K34" s="142"/>
      <c r="L34" s="143"/>
      <c r="M34" s="142"/>
      <c r="N34" s="143"/>
      <c r="O34" s="142"/>
      <c r="P34" s="143"/>
      <c r="Q34" s="137"/>
      <c r="R34" s="120"/>
      <c r="S34" s="120"/>
      <c r="T34" s="110"/>
    </row>
    <row r="35" spans="1:20" s="65" customFormat="1">
      <c r="A35" s="140" t="s">
        <v>318</v>
      </c>
      <c r="B35" s="140" t="s">
        <v>301</v>
      </c>
      <c r="C35" s="110"/>
      <c r="D35" s="110"/>
      <c r="E35" s="110"/>
      <c r="F35" s="108" t="s">
        <v>320</v>
      </c>
      <c r="G35" s="110"/>
      <c r="H35" s="110"/>
      <c r="I35" s="110"/>
      <c r="J35" s="141">
        <f>SUM(J31:J34)</f>
        <v>0</v>
      </c>
      <c r="K35" s="142"/>
      <c r="L35" s="141">
        <f>SUM(L31:L34)</f>
        <v>198.6</v>
      </c>
      <c r="M35" s="142"/>
      <c r="N35" s="141">
        <f>SUM(N31:N34)</f>
        <v>792.44</v>
      </c>
      <c r="O35" s="142"/>
      <c r="P35" s="141">
        <f>SUM(P31:P34)</f>
        <v>991.04</v>
      </c>
      <c r="Q35" s="113">
        <f>IF(P$56=0,0,P35/P$56)</f>
        <v>1.3865824419688998E-3</v>
      </c>
      <c r="R35" s="120"/>
      <c r="S35" s="120"/>
      <c r="T35" s="110"/>
    </row>
    <row r="36" spans="1:20" s="65" customFormat="1" outlineLevel="1">
      <c r="A36" s="138" t="s">
        <v>301</v>
      </c>
      <c r="B36" s="140"/>
      <c r="C36" s="110"/>
      <c r="D36" s="108"/>
      <c r="E36" s="108"/>
      <c r="F36" s="108"/>
      <c r="G36" s="108"/>
      <c r="H36" s="110"/>
      <c r="I36" s="110"/>
      <c r="J36" s="142"/>
      <c r="K36" s="142"/>
      <c r="L36" s="142"/>
      <c r="M36" s="142"/>
      <c r="N36" s="142"/>
      <c r="O36" s="142"/>
      <c r="P36" s="142"/>
      <c r="Q36" s="137"/>
      <c r="R36" s="120"/>
      <c r="S36" s="120"/>
      <c r="T36" s="110"/>
    </row>
    <row r="37" spans="1:20" s="65" customFormat="1" outlineLevel="1">
      <c r="A37" s="140" t="s">
        <v>301</v>
      </c>
      <c r="B37" s="140" t="s">
        <v>301</v>
      </c>
      <c r="C37" s="110"/>
      <c r="D37" s="110"/>
      <c r="E37" s="110"/>
      <c r="F37" s="110"/>
      <c r="G37" s="110"/>
      <c r="H37" s="110"/>
      <c r="I37" s="110"/>
      <c r="J37" s="142"/>
      <c r="K37" s="142"/>
      <c r="L37" s="142"/>
      <c r="M37" s="142"/>
      <c r="N37" s="142"/>
      <c r="O37" s="142"/>
      <c r="P37" s="142"/>
      <c r="Q37" s="137"/>
      <c r="R37" s="120"/>
      <c r="S37" s="120"/>
      <c r="T37" s="110"/>
    </row>
    <row r="38" spans="1:20" outlineLevel="1">
      <c r="A38" s="105"/>
      <c r="B38" s="106" t="s">
        <v>321</v>
      </c>
      <c r="C38" s="105"/>
      <c r="D38" s="107"/>
      <c r="E38" s="107"/>
      <c r="F38" s="108"/>
      <c r="G38" s="109"/>
      <c r="H38" s="110"/>
      <c r="I38" s="111"/>
      <c r="J38" s="112"/>
      <c r="K38" s="111"/>
      <c r="L38" s="112"/>
      <c r="M38" s="111"/>
      <c r="N38" s="112"/>
      <c r="O38" s="111"/>
      <c r="P38" s="112"/>
      <c r="Q38" s="113"/>
      <c r="R38" s="114"/>
      <c r="S38" s="115"/>
      <c r="T38" s="105"/>
    </row>
    <row r="39" spans="1:20" s="65" customFormat="1" ht="3.75" customHeight="1" outlineLevel="1">
      <c r="A39" s="140" t="s">
        <v>301</v>
      </c>
      <c r="B39" s="138" t="s">
        <v>301</v>
      </c>
      <c r="C39" s="110"/>
      <c r="D39" s="108"/>
      <c r="E39" s="108"/>
      <c r="F39" s="108"/>
      <c r="G39" s="108"/>
      <c r="H39" s="110"/>
      <c r="I39" s="110"/>
      <c r="J39" s="143"/>
      <c r="K39" s="142"/>
      <c r="L39" s="143"/>
      <c r="M39" s="142"/>
      <c r="N39" s="143"/>
      <c r="O39" s="142"/>
      <c r="P39" s="143"/>
      <c r="Q39" s="137"/>
      <c r="R39" s="120"/>
      <c r="S39" s="120"/>
      <c r="T39" s="110"/>
    </row>
    <row r="40" spans="1:20" s="65" customFormat="1">
      <c r="A40" s="140" t="s">
        <v>321</v>
      </c>
      <c r="B40" s="140" t="s">
        <v>301</v>
      </c>
      <c r="C40" s="110"/>
      <c r="D40" s="110"/>
      <c r="E40" s="110"/>
      <c r="F40" s="108" t="s">
        <v>322</v>
      </c>
      <c r="G40" s="110"/>
      <c r="H40" s="110"/>
      <c r="I40" s="110"/>
      <c r="J40" s="141">
        <f>SUM(J37:J39)</f>
        <v>0</v>
      </c>
      <c r="K40" s="142"/>
      <c r="L40" s="141">
        <f>SUM(L37:L39)</f>
        <v>0</v>
      </c>
      <c r="M40" s="142"/>
      <c r="N40" s="141">
        <f>SUM(N37:N39)</f>
        <v>0</v>
      </c>
      <c r="O40" s="142"/>
      <c r="P40" s="141">
        <f>SUM(P37:P39)</f>
        <v>0</v>
      </c>
      <c r="Q40" s="113">
        <f>IF(P$56=0,0,P40/P$56)</f>
        <v>0</v>
      </c>
      <c r="R40" s="120"/>
      <c r="S40" s="120"/>
      <c r="T40" s="110"/>
    </row>
    <row r="41" spans="1:20" s="65" customFormat="1" outlineLevel="1">
      <c r="A41" s="138" t="s">
        <v>301</v>
      </c>
      <c r="B41" s="138" t="s">
        <v>301</v>
      </c>
      <c r="C41" s="110"/>
      <c r="D41" s="110"/>
      <c r="E41" s="110"/>
      <c r="F41" s="110"/>
      <c r="G41" s="110"/>
      <c r="H41" s="110"/>
      <c r="I41" s="110"/>
      <c r="J41" s="142"/>
      <c r="K41" s="142"/>
      <c r="L41" s="142"/>
      <c r="M41" s="142"/>
      <c r="N41" s="142"/>
      <c r="O41" s="142"/>
      <c r="P41" s="142"/>
      <c r="Q41" s="137"/>
      <c r="R41" s="120"/>
      <c r="S41" s="120"/>
      <c r="T41" s="110"/>
    </row>
    <row r="42" spans="1:20" outlineLevel="1">
      <c r="A42" s="105"/>
      <c r="B42" s="106" t="s">
        <v>323</v>
      </c>
      <c r="C42" s="105"/>
      <c r="D42" s="107"/>
      <c r="E42" s="107"/>
      <c r="F42" s="108"/>
      <c r="G42" s="109"/>
      <c r="H42" s="110"/>
      <c r="I42" s="111"/>
      <c r="J42" s="112"/>
      <c r="K42" s="111"/>
      <c r="L42" s="112"/>
      <c r="M42" s="111"/>
      <c r="N42" s="112"/>
      <c r="O42" s="111"/>
      <c r="P42" s="112"/>
      <c r="Q42" s="113"/>
      <c r="R42" s="114"/>
      <c r="S42" s="115"/>
      <c r="T42" s="105"/>
    </row>
    <row r="43" spans="1:20" s="65" customFormat="1" ht="3.75" customHeight="1" outlineLevel="1">
      <c r="A43" s="138" t="s">
        <v>301</v>
      </c>
      <c r="B43" s="138" t="s">
        <v>301</v>
      </c>
      <c r="C43" s="110"/>
      <c r="D43" s="108"/>
      <c r="E43" s="108"/>
      <c r="F43" s="108"/>
      <c r="G43" s="108"/>
      <c r="H43" s="110"/>
      <c r="I43" s="110"/>
      <c r="J43" s="143"/>
      <c r="K43" s="142"/>
      <c r="L43" s="143"/>
      <c r="M43" s="142"/>
      <c r="N43" s="143"/>
      <c r="O43" s="142"/>
      <c r="P43" s="143"/>
      <c r="Q43" s="137"/>
      <c r="R43" s="120"/>
      <c r="S43" s="120"/>
      <c r="T43" s="110"/>
    </row>
    <row r="44" spans="1:20" s="65" customFormat="1">
      <c r="A44" s="140" t="s">
        <v>323</v>
      </c>
      <c r="B44" s="138"/>
      <c r="C44" s="110"/>
      <c r="D44" s="110"/>
      <c r="E44" s="110"/>
      <c r="F44" s="108" t="s">
        <v>324</v>
      </c>
      <c r="G44" s="110"/>
      <c r="H44" s="110"/>
      <c r="I44" s="110"/>
      <c r="J44" s="141">
        <f>SUM(J42:J43)</f>
        <v>0</v>
      </c>
      <c r="K44" s="142"/>
      <c r="L44" s="141">
        <f>SUM(L42:L43)</f>
        <v>0</v>
      </c>
      <c r="M44" s="142"/>
      <c r="N44" s="141">
        <f>SUM(N42:N43)</f>
        <v>0</v>
      </c>
      <c r="O44" s="142"/>
      <c r="P44" s="141">
        <f>SUM(P42:P43)</f>
        <v>0</v>
      </c>
      <c r="Q44" s="113">
        <f>IF(P$56=0,0,P44/P$56)</f>
        <v>0</v>
      </c>
      <c r="R44" s="120"/>
      <c r="S44" s="120"/>
      <c r="T44" s="110"/>
    </row>
    <row r="45" spans="1:20" s="65" customFormat="1" outlineLevel="1">
      <c r="A45" s="138" t="s">
        <v>301</v>
      </c>
      <c r="B45" s="138" t="s">
        <v>301</v>
      </c>
      <c r="C45" s="110"/>
      <c r="D45" s="110"/>
      <c r="E45" s="110"/>
      <c r="F45" s="110"/>
      <c r="G45" s="110"/>
      <c r="H45" s="110"/>
      <c r="I45" s="110"/>
      <c r="J45" s="142"/>
      <c r="K45" s="142"/>
      <c r="L45" s="142"/>
      <c r="M45" s="142"/>
      <c r="N45" s="142"/>
      <c r="O45" s="142"/>
      <c r="P45" s="142"/>
      <c r="Q45" s="137"/>
      <c r="R45" s="120"/>
      <c r="S45" s="120"/>
      <c r="T45" s="110"/>
    </row>
    <row r="46" spans="1:20" outlineLevel="1">
      <c r="A46" s="105"/>
      <c r="B46" s="106" t="s">
        <v>532</v>
      </c>
      <c r="C46" s="105"/>
      <c r="D46" s="107"/>
      <c r="E46" s="107"/>
      <c r="F46" s="108"/>
      <c r="G46" s="109"/>
      <c r="H46" s="110"/>
      <c r="I46" s="111"/>
      <c r="J46" s="112"/>
      <c r="K46" s="111"/>
      <c r="L46" s="112"/>
      <c r="M46" s="111"/>
      <c r="N46" s="112"/>
      <c r="O46" s="111"/>
      <c r="P46" s="112"/>
      <c r="Q46" s="113"/>
      <c r="R46" s="114"/>
      <c r="S46" s="115"/>
      <c r="T46" s="105"/>
    </row>
    <row r="47" spans="1:20" s="65" customFormat="1" ht="3.75" customHeight="1" outlineLevel="1">
      <c r="A47" s="138" t="s">
        <v>301</v>
      </c>
      <c r="B47" s="138" t="s">
        <v>301</v>
      </c>
      <c r="C47" s="110"/>
      <c r="D47" s="108"/>
      <c r="E47" s="108"/>
      <c r="F47" s="108"/>
      <c r="G47" s="108"/>
      <c r="H47" s="110"/>
      <c r="I47" s="110"/>
      <c r="J47" s="143"/>
      <c r="K47" s="142"/>
      <c r="L47" s="143"/>
      <c r="M47" s="142"/>
      <c r="N47" s="143"/>
      <c r="O47" s="142"/>
      <c r="P47" s="143"/>
      <c r="Q47" s="137"/>
      <c r="R47" s="120"/>
      <c r="S47" s="120"/>
      <c r="T47" s="110"/>
    </row>
    <row r="48" spans="1:20" s="65" customFormat="1">
      <c r="A48" s="140" t="s">
        <v>532</v>
      </c>
      <c r="B48" s="138"/>
      <c r="C48" s="110"/>
      <c r="D48" s="110"/>
      <c r="E48" s="110"/>
      <c r="F48" s="108" t="s">
        <v>533</v>
      </c>
      <c r="G48" s="110"/>
      <c r="H48" s="110"/>
      <c r="I48" s="110"/>
      <c r="J48" s="141">
        <f>SUM(J46:J47)</f>
        <v>0</v>
      </c>
      <c r="K48" s="142"/>
      <c r="L48" s="141">
        <f>SUM(L46:L47)</f>
        <v>0</v>
      </c>
      <c r="M48" s="142"/>
      <c r="N48" s="141">
        <f>SUM(N46:N47)</f>
        <v>0</v>
      </c>
      <c r="O48" s="142"/>
      <c r="P48" s="141">
        <f>SUM(P46:P47)</f>
        <v>0</v>
      </c>
      <c r="Q48" s="113">
        <f>IF(P$56=0,0,P48/P$56)</f>
        <v>0</v>
      </c>
      <c r="R48" s="120"/>
      <c r="S48" s="120"/>
      <c r="T48" s="110"/>
    </row>
    <row r="49" spans="1:20" s="65" customFormat="1" outlineLevel="1">
      <c r="A49" s="138" t="s">
        <v>301</v>
      </c>
      <c r="B49" s="138"/>
      <c r="C49" s="110"/>
      <c r="D49" s="110"/>
      <c r="E49" s="110"/>
      <c r="F49" s="110"/>
      <c r="G49" s="110"/>
      <c r="H49" s="110"/>
      <c r="I49" s="110"/>
      <c r="J49" s="142"/>
      <c r="K49" s="142"/>
      <c r="L49" s="142"/>
      <c r="M49" s="142"/>
      <c r="N49" s="142"/>
      <c r="O49" s="142"/>
      <c r="P49" s="142"/>
      <c r="Q49" s="137"/>
      <c r="R49" s="120"/>
      <c r="S49" s="120"/>
      <c r="T49" s="110"/>
    </row>
    <row r="50" spans="1:20" s="65" customFormat="1" outlineLevel="1">
      <c r="A50" s="138"/>
      <c r="B50" s="138" t="s">
        <v>301</v>
      </c>
      <c r="C50" s="110"/>
      <c r="D50" s="110"/>
      <c r="E50" s="110"/>
      <c r="F50" s="110"/>
      <c r="G50" s="110"/>
      <c r="H50" s="110"/>
      <c r="I50" s="110"/>
      <c r="J50" s="142"/>
      <c r="K50" s="142"/>
      <c r="L50" s="142"/>
      <c r="M50" s="142"/>
      <c r="N50" s="142"/>
      <c r="O50" s="142"/>
      <c r="P50" s="142"/>
      <c r="Q50" s="137"/>
      <c r="R50" s="120"/>
      <c r="S50" s="120"/>
      <c r="T50" s="110"/>
    </row>
    <row r="51" spans="1:20" outlineLevel="1">
      <c r="A51" s="105"/>
      <c r="B51" s="106" t="s">
        <v>325</v>
      </c>
      <c r="C51" s="105"/>
      <c r="D51" s="107">
        <v>38000</v>
      </c>
      <c r="E51" s="107" t="s">
        <v>326</v>
      </c>
      <c r="F51" s="108"/>
      <c r="G51" s="109"/>
      <c r="H51" s="110"/>
      <c r="I51" s="111"/>
      <c r="J51" s="112">
        <v>356.36</v>
      </c>
      <c r="K51" s="111"/>
      <c r="L51" s="112">
        <v>958.5</v>
      </c>
      <c r="M51" s="111"/>
      <c r="N51" s="112">
        <v>291.12</v>
      </c>
      <c r="O51" s="111"/>
      <c r="P51" s="112">
        <v>1605.98</v>
      </c>
      <c r="Q51" s="113">
        <f t="shared" ref="Q51:Q52" si="2">IF(P$56=0,0,P51/P$56)</f>
        <v>2.2469563994926682E-3</v>
      </c>
      <c r="R51" s="114"/>
      <c r="S51" s="115"/>
      <c r="T51" s="105"/>
    </row>
    <row r="52" spans="1:20" outlineLevel="1">
      <c r="A52" s="105"/>
      <c r="B52" s="106" t="s">
        <v>308</v>
      </c>
      <c r="C52" s="105"/>
      <c r="D52" s="107">
        <v>38001</v>
      </c>
      <c r="E52" s="107" t="s">
        <v>534</v>
      </c>
      <c r="F52" s="108"/>
      <c r="G52" s="109"/>
      <c r="H52" s="110"/>
      <c r="I52" s="111"/>
      <c r="J52" s="112">
        <v>471.2</v>
      </c>
      <c r="K52" s="111"/>
      <c r="L52" s="112">
        <v>275.77999999999997</v>
      </c>
      <c r="M52" s="111"/>
      <c r="N52" s="112">
        <v>258.79000000000002</v>
      </c>
      <c r="O52" s="111"/>
      <c r="P52" s="112">
        <v>1005.77</v>
      </c>
      <c r="Q52" s="113">
        <f t="shared" si="2"/>
        <v>1.4071914581238502E-3</v>
      </c>
      <c r="R52" s="114"/>
      <c r="S52" s="115"/>
      <c r="T52" s="105"/>
    </row>
    <row r="53" spans="1:20" s="65" customFormat="1" ht="4.5" customHeight="1" outlineLevel="1">
      <c r="A53" s="138" t="s">
        <v>301</v>
      </c>
      <c r="B53" s="138" t="s">
        <v>301</v>
      </c>
      <c r="C53" s="110"/>
      <c r="D53" s="144"/>
      <c r="E53" s="110"/>
      <c r="F53" s="110"/>
      <c r="G53" s="110"/>
      <c r="H53" s="110"/>
      <c r="I53" s="110"/>
      <c r="J53" s="143"/>
      <c r="K53" s="142"/>
      <c r="L53" s="143"/>
      <c r="M53" s="142"/>
      <c r="N53" s="143"/>
      <c r="O53" s="142"/>
      <c r="P53" s="143"/>
      <c r="Q53" s="137"/>
      <c r="R53" s="120"/>
      <c r="S53" s="120"/>
      <c r="T53" s="110"/>
    </row>
    <row r="54" spans="1:20" s="65" customFormat="1">
      <c r="A54" s="140" t="s">
        <v>325</v>
      </c>
      <c r="B54" s="138" t="s">
        <v>301</v>
      </c>
      <c r="C54" s="110"/>
      <c r="D54" s="110"/>
      <c r="E54" s="110"/>
      <c r="F54" s="110" t="s">
        <v>326</v>
      </c>
      <c r="G54" s="110"/>
      <c r="H54" s="110"/>
      <c r="I54" s="110"/>
      <c r="J54" s="141">
        <f>SUM(J50:J53)</f>
        <v>827.56</v>
      </c>
      <c r="K54" s="142"/>
      <c r="L54" s="141">
        <f>SUM(L50:L53)</f>
        <v>1234.28</v>
      </c>
      <c r="M54" s="142"/>
      <c r="N54" s="141">
        <f>SUM(N50:N53)</f>
        <v>549.91000000000008</v>
      </c>
      <c r="O54" s="142"/>
      <c r="P54" s="141">
        <f>SUM(P50:P53)</f>
        <v>2611.75</v>
      </c>
      <c r="Q54" s="113">
        <f>IF(P$56=0,0,P54/P$56)</f>
        <v>3.6541478576165181E-3</v>
      </c>
      <c r="R54" s="120"/>
      <c r="S54" s="120"/>
      <c r="T54" s="110"/>
    </row>
    <row r="55" spans="1:20" s="65" customFormat="1" ht="7.5" customHeight="1">
      <c r="A55" s="138" t="s">
        <v>301</v>
      </c>
      <c r="B55" s="138" t="s">
        <v>301</v>
      </c>
      <c r="C55" s="110"/>
      <c r="D55" s="110"/>
      <c r="E55" s="110"/>
      <c r="F55" s="110"/>
      <c r="G55" s="110"/>
      <c r="H55" s="110"/>
      <c r="I55" s="110"/>
      <c r="J55" s="142"/>
      <c r="K55" s="142"/>
      <c r="L55" s="142"/>
      <c r="M55" s="142"/>
      <c r="N55" s="142"/>
      <c r="O55" s="142"/>
      <c r="P55" s="142"/>
      <c r="Q55" s="137"/>
      <c r="R55" s="120"/>
      <c r="S55" s="120"/>
      <c r="T55" s="110"/>
    </row>
    <row r="56" spans="1:20" s="65" customFormat="1">
      <c r="A56" s="138" t="s">
        <v>301</v>
      </c>
      <c r="B56" s="138" t="s">
        <v>301</v>
      </c>
      <c r="C56" s="110"/>
      <c r="D56" s="110"/>
      <c r="E56" s="145" t="s">
        <v>4</v>
      </c>
      <c r="F56" s="110"/>
      <c r="G56" s="110"/>
      <c r="H56" s="110"/>
      <c r="I56" s="110"/>
      <c r="J56" s="146">
        <f>+J29+J35+J40+J54+J25+J44+J48</f>
        <v>234615.94</v>
      </c>
      <c r="K56" s="142"/>
      <c r="L56" s="146">
        <f>+L29+L35+L40+L54+L25+L44+L48</f>
        <v>234352.69</v>
      </c>
      <c r="M56" s="142"/>
      <c r="N56" s="146">
        <f>+N29+N35+N40+N54+N25+N44+N48</f>
        <v>245767.09000000003</v>
      </c>
      <c r="O56" s="142"/>
      <c r="P56" s="146">
        <f>+P29+P35+P40+P54+P25+P44+P48</f>
        <v>714735.72000000009</v>
      </c>
      <c r="Q56" s="113">
        <f>IF(P$56=0,0,P56/P$56)</f>
        <v>1</v>
      </c>
      <c r="R56" s="120"/>
      <c r="S56" s="120"/>
      <c r="T56" s="110"/>
    </row>
    <row r="57" spans="1:20" s="65" customFormat="1" ht="7.5" customHeight="1">
      <c r="A57" s="138" t="s">
        <v>301</v>
      </c>
      <c r="B57" s="138" t="s">
        <v>301</v>
      </c>
      <c r="C57" s="110"/>
      <c r="D57" s="110"/>
      <c r="E57" s="110"/>
      <c r="F57" s="110"/>
      <c r="G57" s="110"/>
      <c r="H57" s="110"/>
      <c r="I57" s="110"/>
      <c r="J57" s="142"/>
      <c r="K57" s="142"/>
      <c r="L57" s="142"/>
      <c r="M57" s="142"/>
      <c r="N57" s="142"/>
      <c r="O57" s="142"/>
      <c r="P57" s="142"/>
      <c r="Q57" s="137"/>
      <c r="R57" s="120"/>
      <c r="S57" s="120"/>
      <c r="T57" s="110"/>
    </row>
    <row r="58" spans="1:20" s="65" customFormat="1" outlineLevel="1">
      <c r="A58" s="138" t="s">
        <v>301</v>
      </c>
      <c r="B58" s="138"/>
      <c r="C58" s="110"/>
      <c r="D58" s="110"/>
      <c r="E58" s="110"/>
      <c r="F58" s="110"/>
      <c r="G58" s="110"/>
      <c r="H58" s="110"/>
      <c r="I58" s="110"/>
      <c r="J58" s="142"/>
      <c r="K58" s="142"/>
      <c r="L58" s="142"/>
      <c r="M58" s="142"/>
      <c r="N58" s="142"/>
      <c r="O58" s="142"/>
      <c r="P58" s="142"/>
      <c r="Q58" s="137"/>
      <c r="R58" s="120"/>
      <c r="S58" s="120"/>
      <c r="T58" s="110"/>
    </row>
    <row r="59" spans="1:20" outlineLevel="1">
      <c r="A59" s="105"/>
      <c r="B59" s="106" t="s">
        <v>327</v>
      </c>
      <c r="C59" s="105"/>
      <c r="D59" s="107">
        <v>40101</v>
      </c>
      <c r="E59" s="107" t="s">
        <v>328</v>
      </c>
      <c r="F59" s="108"/>
      <c r="G59" s="109"/>
      <c r="H59" s="110"/>
      <c r="I59" s="111"/>
      <c r="J59" s="112">
        <v>54239.6</v>
      </c>
      <c r="K59" s="111"/>
      <c r="L59" s="112">
        <v>53536.66</v>
      </c>
      <c r="M59" s="111"/>
      <c r="N59" s="112">
        <v>64640.959999999999</v>
      </c>
      <c r="O59" s="111"/>
      <c r="P59" s="112">
        <v>172417.22</v>
      </c>
      <c r="Q59" s="113">
        <f t="shared" ref="Q59:Q61" si="3">IF(P$56=0,0,P59/P$56)</f>
        <v>0.24123212982835107</v>
      </c>
      <c r="R59" s="114"/>
      <c r="S59" s="115"/>
      <c r="T59" s="105"/>
    </row>
    <row r="60" spans="1:20" outlineLevel="1">
      <c r="A60" s="105"/>
      <c r="B60" s="106" t="s">
        <v>308</v>
      </c>
      <c r="C60" s="105"/>
      <c r="D60" s="107">
        <v>40121</v>
      </c>
      <c r="E60" s="107" t="s">
        <v>329</v>
      </c>
      <c r="F60" s="108"/>
      <c r="G60" s="109"/>
      <c r="H60" s="110"/>
      <c r="I60" s="111"/>
      <c r="J60" s="112">
        <v>5215.63</v>
      </c>
      <c r="K60" s="111"/>
      <c r="L60" s="112">
        <v>5044.63</v>
      </c>
      <c r="M60" s="111"/>
      <c r="N60" s="112">
        <v>3408.4</v>
      </c>
      <c r="O60" s="111"/>
      <c r="P60" s="112">
        <v>13668.66</v>
      </c>
      <c r="Q60" s="113">
        <f t="shared" si="3"/>
        <v>1.9124075679329413E-2</v>
      </c>
      <c r="R60" s="114"/>
      <c r="S60" s="115"/>
      <c r="T60" s="105"/>
    </row>
    <row r="61" spans="1:20" outlineLevel="1">
      <c r="A61" s="105"/>
      <c r="B61" s="106" t="s">
        <v>308</v>
      </c>
      <c r="C61" s="105"/>
      <c r="D61" s="107">
        <v>40131</v>
      </c>
      <c r="E61" s="107" t="s">
        <v>535</v>
      </c>
      <c r="F61" s="108"/>
      <c r="G61" s="109"/>
      <c r="H61" s="110"/>
      <c r="I61" s="111"/>
      <c r="J61" s="112">
        <v>10254.1</v>
      </c>
      <c r="K61" s="111"/>
      <c r="L61" s="112">
        <v>9628.4699999999993</v>
      </c>
      <c r="M61" s="111"/>
      <c r="N61" s="112">
        <v>13515.39</v>
      </c>
      <c r="O61" s="111"/>
      <c r="P61" s="112">
        <v>33397.96</v>
      </c>
      <c r="Q61" s="113">
        <f t="shared" si="3"/>
        <v>4.6727705171920042E-2</v>
      </c>
      <c r="R61" s="114"/>
      <c r="S61" s="115"/>
      <c r="T61" s="105"/>
    </row>
    <row r="62" spans="1:20" s="65" customFormat="1" ht="5.0999999999999996" customHeight="1" outlineLevel="1">
      <c r="A62" s="138"/>
      <c r="B62" s="138" t="s">
        <v>301</v>
      </c>
      <c r="C62" s="110"/>
      <c r="D62" s="108"/>
      <c r="E62" s="108"/>
      <c r="F62" s="108"/>
      <c r="G62" s="108"/>
      <c r="H62" s="110"/>
      <c r="I62" s="110"/>
      <c r="J62" s="143"/>
      <c r="K62" s="142"/>
      <c r="L62" s="143"/>
      <c r="M62" s="142"/>
      <c r="N62" s="143"/>
      <c r="O62" s="142"/>
      <c r="P62" s="143"/>
      <c r="Q62" s="137"/>
      <c r="R62" s="120"/>
      <c r="S62" s="120"/>
      <c r="T62" s="110"/>
    </row>
    <row r="63" spans="1:20" s="65" customFormat="1">
      <c r="A63" s="140" t="s">
        <v>327</v>
      </c>
      <c r="B63" s="138" t="s">
        <v>301</v>
      </c>
      <c r="C63" s="110"/>
      <c r="D63" s="110"/>
      <c r="E63" s="110"/>
      <c r="F63" s="108" t="s">
        <v>330</v>
      </c>
      <c r="G63" s="110"/>
      <c r="H63" s="110"/>
      <c r="I63" s="110"/>
      <c r="J63" s="141">
        <f>SUM(J58:J62)</f>
        <v>69709.33</v>
      </c>
      <c r="K63" s="142"/>
      <c r="L63" s="141">
        <f>SUM(L58:L62)</f>
        <v>68209.759999999995</v>
      </c>
      <c r="M63" s="142"/>
      <c r="N63" s="141">
        <f>SUM(N58:N62)</f>
        <v>81564.75</v>
      </c>
      <c r="O63" s="142"/>
      <c r="P63" s="141">
        <f>SUM(P58:P62)</f>
        <v>219483.84</v>
      </c>
      <c r="Q63" s="113">
        <f>IF(P$56=0,0,P63/P$56)</f>
        <v>0.3070839106796005</v>
      </c>
      <c r="R63" s="120"/>
      <c r="S63" s="120"/>
      <c r="T63" s="110"/>
    </row>
    <row r="64" spans="1:20" s="65" customFormat="1" outlineLevel="1">
      <c r="A64" s="138" t="s">
        <v>301</v>
      </c>
      <c r="B64" s="138"/>
      <c r="C64" s="110"/>
      <c r="D64" s="110"/>
      <c r="E64" s="110"/>
      <c r="F64" s="110"/>
      <c r="G64" s="110"/>
      <c r="H64" s="110"/>
      <c r="I64" s="110"/>
      <c r="J64" s="142"/>
      <c r="K64" s="142"/>
      <c r="L64" s="142"/>
      <c r="M64" s="142"/>
      <c r="N64" s="142"/>
      <c r="O64" s="142"/>
      <c r="P64" s="142"/>
      <c r="Q64" s="137"/>
      <c r="R64" s="120"/>
      <c r="S64" s="120"/>
      <c r="T64" s="110"/>
    </row>
    <row r="65" spans="1:20" outlineLevel="1">
      <c r="A65" s="105"/>
      <c r="B65" s="106" t="s">
        <v>331</v>
      </c>
      <c r="C65" s="105"/>
      <c r="D65" s="107"/>
      <c r="E65" s="107"/>
      <c r="F65" s="108"/>
      <c r="G65" s="109"/>
      <c r="H65" s="110"/>
      <c r="I65" s="111"/>
      <c r="J65" s="112"/>
      <c r="K65" s="111"/>
      <c r="L65" s="112"/>
      <c r="M65" s="111"/>
      <c r="N65" s="112"/>
      <c r="O65" s="111"/>
      <c r="P65" s="112"/>
      <c r="Q65" s="113"/>
      <c r="R65" s="114"/>
      <c r="S65" s="115"/>
      <c r="T65" s="105"/>
    </row>
    <row r="66" spans="1:20" s="65" customFormat="1" ht="4.5" customHeight="1" outlineLevel="1">
      <c r="A66" s="138"/>
      <c r="B66" s="147" t="s">
        <v>301</v>
      </c>
      <c r="C66" s="110"/>
      <c r="D66" s="144"/>
      <c r="E66" s="110"/>
      <c r="F66" s="110"/>
      <c r="G66" s="110"/>
      <c r="H66" s="110"/>
      <c r="I66" s="110"/>
      <c r="J66" s="143"/>
      <c r="K66" s="142"/>
      <c r="L66" s="143"/>
      <c r="M66" s="142"/>
      <c r="N66" s="143"/>
      <c r="O66" s="142"/>
      <c r="P66" s="143"/>
      <c r="Q66" s="137"/>
      <c r="R66" s="120"/>
      <c r="S66" s="120"/>
      <c r="T66" s="110"/>
    </row>
    <row r="67" spans="1:20" s="65" customFormat="1">
      <c r="A67" s="140" t="s">
        <v>331</v>
      </c>
      <c r="B67" s="138" t="s">
        <v>301</v>
      </c>
      <c r="C67" s="110"/>
      <c r="D67" s="110"/>
      <c r="E67" s="110"/>
      <c r="F67" s="110" t="s">
        <v>332</v>
      </c>
      <c r="G67" s="110"/>
      <c r="H67" s="110"/>
      <c r="I67" s="110"/>
      <c r="J67" s="141">
        <f>SUM(J65:J66)</f>
        <v>0</v>
      </c>
      <c r="K67" s="142"/>
      <c r="L67" s="141">
        <f>SUM(L65:L66)</f>
        <v>0</v>
      </c>
      <c r="M67" s="142"/>
      <c r="N67" s="141">
        <f>SUM(N65:N66)</f>
        <v>0</v>
      </c>
      <c r="O67" s="142"/>
      <c r="P67" s="141">
        <f>SUM(P65:P66)</f>
        <v>0</v>
      </c>
      <c r="Q67" s="113">
        <f>IF(P$56=0,0,P67/P$56)</f>
        <v>0</v>
      </c>
      <c r="R67" s="120"/>
      <c r="S67" s="120"/>
      <c r="T67" s="110"/>
    </row>
    <row r="68" spans="1:20" s="65" customFormat="1" outlineLevel="1">
      <c r="A68" s="148" t="s">
        <v>301</v>
      </c>
      <c r="B68" s="138"/>
      <c r="C68" s="110"/>
      <c r="D68" s="110"/>
      <c r="E68" s="110"/>
      <c r="F68" s="110"/>
      <c r="G68" s="110"/>
      <c r="H68" s="110"/>
      <c r="I68" s="110"/>
      <c r="J68" s="142"/>
      <c r="K68" s="142"/>
      <c r="L68" s="142"/>
      <c r="M68" s="142"/>
      <c r="N68" s="142"/>
      <c r="O68" s="142"/>
      <c r="P68" s="142"/>
      <c r="Q68" s="137"/>
      <c r="R68" s="120"/>
      <c r="S68" s="120"/>
      <c r="T68" s="110"/>
    </row>
    <row r="69" spans="1:20" s="65" customFormat="1" outlineLevel="1">
      <c r="A69" s="138" t="s">
        <v>301</v>
      </c>
      <c r="B69" s="138" t="s">
        <v>301</v>
      </c>
      <c r="C69" s="110"/>
      <c r="D69" s="110"/>
      <c r="E69" s="110"/>
      <c r="F69" s="110"/>
      <c r="G69" s="110"/>
      <c r="H69" s="110"/>
      <c r="I69" s="110"/>
      <c r="J69" s="142"/>
      <c r="K69" s="142"/>
      <c r="L69" s="142"/>
      <c r="M69" s="142"/>
      <c r="N69" s="142"/>
      <c r="O69" s="142"/>
      <c r="P69" s="142"/>
      <c r="Q69" s="137"/>
      <c r="R69" s="120"/>
      <c r="S69" s="120"/>
      <c r="T69" s="110"/>
    </row>
    <row r="70" spans="1:20" outlineLevel="1">
      <c r="A70" s="105"/>
      <c r="B70" s="106" t="s">
        <v>333</v>
      </c>
      <c r="C70" s="105"/>
      <c r="D70" s="107">
        <v>41121</v>
      </c>
      <c r="E70" s="107" t="s">
        <v>555</v>
      </c>
      <c r="F70" s="108"/>
      <c r="G70" s="109"/>
      <c r="H70" s="110"/>
      <c r="I70" s="111"/>
      <c r="J70" s="112">
        <v>0</v>
      </c>
      <c r="K70" s="111"/>
      <c r="L70" s="112">
        <v>0</v>
      </c>
      <c r="M70" s="111"/>
      <c r="N70" s="112">
        <v>0</v>
      </c>
      <c r="O70" s="111"/>
      <c r="P70" s="112">
        <v>0</v>
      </c>
      <c r="Q70" s="113">
        <f t="shared" ref="Q70:Q73" si="4">IF(P$56=0,0,P70/P$56)</f>
        <v>0</v>
      </c>
      <c r="R70" s="114"/>
      <c r="S70" s="115"/>
      <c r="T70" s="105"/>
    </row>
    <row r="71" spans="1:20" outlineLevel="1">
      <c r="A71" s="105"/>
      <c r="B71" s="106" t="s">
        <v>308</v>
      </c>
      <c r="C71" s="105"/>
      <c r="D71" s="107">
        <v>41201</v>
      </c>
      <c r="E71" s="107" t="s">
        <v>334</v>
      </c>
      <c r="F71" s="108"/>
      <c r="G71" s="109"/>
      <c r="H71" s="110"/>
      <c r="I71" s="111"/>
      <c r="J71" s="112">
        <v>2368.9299999999998</v>
      </c>
      <c r="K71" s="111"/>
      <c r="L71" s="112">
        <v>2356.3200000000002</v>
      </c>
      <c r="M71" s="111"/>
      <c r="N71" s="112">
        <v>2449.71</v>
      </c>
      <c r="O71" s="111"/>
      <c r="P71" s="112">
        <v>7174.96</v>
      </c>
      <c r="Q71" s="113">
        <f t="shared" si="4"/>
        <v>1.0038619589349752E-2</v>
      </c>
      <c r="R71" s="114"/>
      <c r="S71" s="115"/>
      <c r="T71" s="105"/>
    </row>
    <row r="72" spans="1:20" outlineLevel="1">
      <c r="A72" s="105"/>
      <c r="B72" s="106" t="s">
        <v>308</v>
      </c>
      <c r="C72" s="105"/>
      <c r="D72" s="107">
        <v>43001</v>
      </c>
      <c r="E72" s="107" t="s">
        <v>335</v>
      </c>
      <c r="F72" s="108"/>
      <c r="G72" s="109"/>
      <c r="H72" s="110"/>
      <c r="I72" s="111"/>
      <c r="J72" s="112">
        <v>3642.01</v>
      </c>
      <c r="K72" s="111"/>
      <c r="L72" s="112">
        <v>3577.59</v>
      </c>
      <c r="M72" s="111"/>
      <c r="N72" s="112">
        <v>3747.73</v>
      </c>
      <c r="O72" s="111"/>
      <c r="P72" s="112">
        <v>10967.33</v>
      </c>
      <c r="Q72" s="113">
        <f t="shared" si="4"/>
        <v>1.5344594782530245E-2</v>
      </c>
      <c r="R72" s="114"/>
      <c r="S72" s="115"/>
      <c r="T72" s="105"/>
    </row>
    <row r="73" spans="1:20" outlineLevel="1">
      <c r="A73" s="105"/>
      <c r="B73" s="106" t="s">
        <v>308</v>
      </c>
      <c r="C73" s="105"/>
      <c r="D73" s="107">
        <v>43002</v>
      </c>
      <c r="E73" s="107" t="s">
        <v>336</v>
      </c>
      <c r="F73" s="108"/>
      <c r="G73" s="109"/>
      <c r="H73" s="110"/>
      <c r="I73" s="111"/>
      <c r="J73" s="112">
        <v>1211</v>
      </c>
      <c r="K73" s="111"/>
      <c r="L73" s="112">
        <v>657</v>
      </c>
      <c r="M73" s="111"/>
      <c r="N73" s="112">
        <v>1118</v>
      </c>
      <c r="O73" s="111"/>
      <c r="P73" s="112">
        <v>2986</v>
      </c>
      <c r="Q73" s="113">
        <f t="shared" si="4"/>
        <v>4.1777679727550204E-3</v>
      </c>
      <c r="R73" s="114"/>
      <c r="S73" s="115"/>
      <c r="T73" s="105"/>
    </row>
    <row r="74" spans="1:20" s="65" customFormat="1" ht="5.0999999999999996" customHeight="1" outlineLevel="1">
      <c r="A74" s="138" t="s">
        <v>301</v>
      </c>
      <c r="B74" s="140" t="s">
        <v>301</v>
      </c>
      <c r="C74" s="110"/>
      <c r="D74" s="108"/>
      <c r="E74" s="108"/>
      <c r="F74" s="108"/>
      <c r="G74" s="108"/>
      <c r="H74" s="110"/>
      <c r="I74" s="110"/>
      <c r="J74" s="143"/>
      <c r="K74" s="142"/>
      <c r="L74" s="143"/>
      <c r="M74" s="142"/>
      <c r="N74" s="143"/>
      <c r="O74" s="142"/>
      <c r="P74" s="143"/>
      <c r="Q74" s="137"/>
      <c r="R74" s="120"/>
      <c r="S74" s="120"/>
      <c r="T74" s="110"/>
    </row>
    <row r="75" spans="1:20" s="65" customFormat="1">
      <c r="A75" s="140" t="s">
        <v>333</v>
      </c>
      <c r="B75" s="138" t="s">
        <v>301</v>
      </c>
      <c r="C75" s="110"/>
      <c r="D75" s="110"/>
      <c r="E75" s="110"/>
      <c r="F75" s="108" t="s">
        <v>337</v>
      </c>
      <c r="G75" s="149"/>
      <c r="H75" s="149"/>
      <c r="I75" s="149"/>
      <c r="J75" s="141">
        <f>SUM(J69:J74)</f>
        <v>7221.9400000000005</v>
      </c>
      <c r="K75" s="142"/>
      <c r="L75" s="141">
        <f>SUM(L69:L74)</f>
        <v>6590.91</v>
      </c>
      <c r="M75" s="142"/>
      <c r="N75" s="141">
        <f>SUM(N69:N74)</f>
        <v>7315.4400000000005</v>
      </c>
      <c r="O75" s="142"/>
      <c r="P75" s="141">
        <f>SUM(P69:P74)</f>
        <v>21128.29</v>
      </c>
      <c r="Q75" s="113">
        <f>IF(P$56=0,0,P75/P$56)</f>
        <v>2.9560982344635018E-2</v>
      </c>
      <c r="R75" s="120"/>
      <c r="S75" s="120"/>
      <c r="T75" s="110"/>
    </row>
    <row r="76" spans="1:20" s="65" customFormat="1" outlineLevel="1">
      <c r="A76" s="140" t="s">
        <v>301</v>
      </c>
      <c r="B76" s="138"/>
      <c r="C76" s="110"/>
      <c r="D76" s="110"/>
      <c r="E76" s="110"/>
      <c r="F76" s="110"/>
      <c r="G76" s="110"/>
      <c r="H76" s="110"/>
      <c r="I76" s="110"/>
      <c r="J76" s="142"/>
      <c r="K76" s="142"/>
      <c r="L76" s="142"/>
      <c r="M76" s="142"/>
      <c r="N76" s="142"/>
      <c r="O76" s="142"/>
      <c r="P76" s="142"/>
      <c r="Q76" s="137"/>
      <c r="R76" s="120"/>
      <c r="S76" s="120"/>
      <c r="T76" s="110"/>
    </row>
    <row r="77" spans="1:20" s="65" customFormat="1" outlineLevel="1">
      <c r="A77" s="138" t="s">
        <v>301</v>
      </c>
      <c r="B77" s="138" t="s">
        <v>301</v>
      </c>
      <c r="C77" s="110"/>
      <c r="D77" s="110"/>
      <c r="E77" s="110"/>
      <c r="F77" s="110"/>
      <c r="G77" s="110"/>
      <c r="H77" s="110"/>
      <c r="I77" s="110"/>
      <c r="J77" s="142"/>
      <c r="K77" s="142"/>
      <c r="L77" s="142"/>
      <c r="M77" s="142"/>
      <c r="N77" s="142"/>
      <c r="O77" s="142"/>
      <c r="P77" s="142"/>
      <c r="Q77" s="137"/>
      <c r="R77" s="120"/>
      <c r="S77" s="120"/>
      <c r="T77" s="110"/>
    </row>
    <row r="78" spans="1:20" outlineLevel="1">
      <c r="A78" s="105"/>
      <c r="B78" s="106" t="s">
        <v>338</v>
      </c>
      <c r="C78" s="105"/>
      <c r="D78" s="107">
        <v>44161</v>
      </c>
      <c r="E78" s="107" t="s">
        <v>501</v>
      </c>
      <c r="F78" s="108"/>
      <c r="G78" s="109"/>
      <c r="H78" s="110"/>
      <c r="I78" s="111"/>
      <c r="J78" s="112">
        <v>577.20000000000005</v>
      </c>
      <c r="K78" s="111"/>
      <c r="L78" s="112">
        <v>759</v>
      </c>
      <c r="M78" s="111"/>
      <c r="N78" s="112">
        <v>825.9</v>
      </c>
      <c r="O78" s="111"/>
      <c r="P78" s="112">
        <v>2162.1</v>
      </c>
      <c r="Q78" s="113">
        <f t="shared" ref="Q78:Q79" si="5">IF(P$56=0,0,P78/P$56)</f>
        <v>3.0250342042510477E-3</v>
      </c>
      <c r="R78" s="114"/>
      <c r="S78" s="115"/>
      <c r="T78" s="105"/>
    </row>
    <row r="79" spans="1:20" outlineLevel="1">
      <c r="A79" s="105"/>
      <c r="B79" s="106" t="s">
        <v>308</v>
      </c>
      <c r="C79" s="105"/>
      <c r="D79" s="107">
        <v>44168</v>
      </c>
      <c r="E79" s="107" t="s">
        <v>502</v>
      </c>
      <c r="F79" s="108"/>
      <c r="G79" s="109"/>
      <c r="H79" s="110"/>
      <c r="I79" s="111"/>
      <c r="J79" s="112">
        <v>236.36</v>
      </c>
      <c r="K79" s="111"/>
      <c r="L79" s="112">
        <v>412.61</v>
      </c>
      <c r="M79" s="111"/>
      <c r="N79" s="112">
        <v>639.82000000000005</v>
      </c>
      <c r="O79" s="111"/>
      <c r="P79" s="112">
        <v>1288.79</v>
      </c>
      <c r="Q79" s="113">
        <f t="shared" si="5"/>
        <v>1.8031699884818962E-3</v>
      </c>
      <c r="R79" s="114"/>
      <c r="S79" s="115"/>
      <c r="T79" s="105"/>
    </row>
    <row r="80" spans="1:20" s="65" customFormat="1" ht="5.0999999999999996" customHeight="1" outlineLevel="1">
      <c r="A80" s="138" t="s">
        <v>301</v>
      </c>
      <c r="B80" s="140" t="s">
        <v>301</v>
      </c>
      <c r="C80" s="110"/>
      <c r="D80" s="108"/>
      <c r="E80" s="108"/>
      <c r="F80" s="108"/>
      <c r="G80" s="108"/>
      <c r="H80" s="110"/>
      <c r="I80" s="110"/>
      <c r="J80" s="143"/>
      <c r="K80" s="142"/>
      <c r="L80" s="143"/>
      <c r="M80" s="142"/>
      <c r="N80" s="143"/>
      <c r="O80" s="142"/>
      <c r="P80" s="143"/>
      <c r="Q80" s="137"/>
      <c r="R80" s="120"/>
      <c r="S80" s="120"/>
      <c r="T80" s="110"/>
    </row>
    <row r="81" spans="1:20" s="65" customFormat="1">
      <c r="A81" s="140" t="s">
        <v>338</v>
      </c>
      <c r="B81" s="140" t="s">
        <v>301</v>
      </c>
      <c r="C81" s="110"/>
      <c r="D81" s="110"/>
      <c r="E81" s="110"/>
      <c r="F81" s="108" t="s">
        <v>339</v>
      </c>
      <c r="G81" s="149"/>
      <c r="H81" s="149"/>
      <c r="I81" s="149"/>
      <c r="J81" s="141">
        <f>SUM(J77:J80)</f>
        <v>813.56000000000006</v>
      </c>
      <c r="K81" s="142"/>
      <c r="L81" s="141">
        <f>SUM(L77:L80)</f>
        <v>1171.6100000000001</v>
      </c>
      <c r="M81" s="142"/>
      <c r="N81" s="141">
        <f>SUM(N77:N80)</f>
        <v>1465.72</v>
      </c>
      <c r="O81" s="142"/>
      <c r="P81" s="141">
        <f>SUM(P77:P80)</f>
        <v>3450.89</v>
      </c>
      <c r="Q81" s="113">
        <f>IF(P$56=0,0,P81/P$56)</f>
        <v>4.8282041927329442E-3</v>
      </c>
      <c r="R81" s="120"/>
      <c r="S81" s="120"/>
      <c r="T81" s="110"/>
    </row>
    <row r="82" spans="1:20" s="65" customFormat="1" outlineLevel="1">
      <c r="A82" s="140" t="s">
        <v>301</v>
      </c>
      <c r="B82" s="138" t="s">
        <v>301</v>
      </c>
      <c r="C82" s="110"/>
      <c r="D82" s="110"/>
      <c r="E82" s="110"/>
      <c r="F82" s="110"/>
      <c r="G82" s="110"/>
      <c r="H82" s="110"/>
      <c r="I82" s="110"/>
      <c r="J82" s="142"/>
      <c r="K82" s="142"/>
      <c r="L82" s="142"/>
      <c r="M82" s="142"/>
      <c r="N82" s="142"/>
      <c r="O82" s="142"/>
      <c r="P82" s="142"/>
      <c r="Q82" s="137"/>
      <c r="R82" s="120"/>
      <c r="S82" s="120"/>
      <c r="T82" s="110"/>
    </row>
    <row r="83" spans="1:20" outlineLevel="1">
      <c r="A83" s="105"/>
      <c r="B83" s="106" t="s">
        <v>340</v>
      </c>
      <c r="C83" s="105"/>
      <c r="D83" s="107"/>
      <c r="E83" s="107"/>
      <c r="F83" s="108"/>
      <c r="G83" s="109"/>
      <c r="H83" s="110"/>
      <c r="I83" s="111"/>
      <c r="J83" s="112"/>
      <c r="K83" s="111"/>
      <c r="L83" s="112"/>
      <c r="M83" s="111"/>
      <c r="N83" s="112"/>
      <c r="O83" s="111"/>
      <c r="P83" s="112"/>
      <c r="Q83" s="113"/>
      <c r="R83" s="114"/>
      <c r="S83" s="115"/>
      <c r="T83" s="105"/>
    </row>
    <row r="84" spans="1:20" s="65" customFormat="1" ht="4.5" customHeight="1" outlineLevel="1">
      <c r="A84" s="138" t="s">
        <v>301</v>
      </c>
      <c r="B84" s="147" t="s">
        <v>301</v>
      </c>
      <c r="C84" s="110"/>
      <c r="D84" s="144"/>
      <c r="E84" s="110"/>
      <c r="F84" s="110"/>
      <c r="G84" s="110"/>
      <c r="H84" s="110"/>
      <c r="I84" s="110"/>
      <c r="J84" s="143"/>
      <c r="K84" s="142"/>
      <c r="L84" s="143"/>
      <c r="M84" s="142"/>
      <c r="N84" s="143"/>
      <c r="O84" s="142"/>
      <c r="P84" s="143"/>
      <c r="Q84" s="137"/>
      <c r="R84" s="120"/>
      <c r="S84" s="120"/>
      <c r="T84" s="110"/>
    </row>
    <row r="85" spans="1:20" s="65" customFormat="1">
      <c r="A85" s="140" t="s">
        <v>340</v>
      </c>
      <c r="B85" s="138" t="s">
        <v>301</v>
      </c>
      <c r="C85" s="110"/>
      <c r="D85" s="110"/>
      <c r="E85" s="110"/>
      <c r="F85" s="110" t="s">
        <v>341</v>
      </c>
      <c r="G85" s="110"/>
      <c r="H85" s="110"/>
      <c r="I85" s="110"/>
      <c r="J85" s="141">
        <f>SUM(J83:J84)</f>
        <v>0</v>
      </c>
      <c r="K85" s="142"/>
      <c r="L85" s="141">
        <f>SUM(L83:L84)</f>
        <v>0</v>
      </c>
      <c r="M85" s="142"/>
      <c r="N85" s="141">
        <f>SUM(N83:N84)</f>
        <v>0</v>
      </c>
      <c r="O85" s="142"/>
      <c r="P85" s="141">
        <f>SUM(P83:P84)</f>
        <v>0</v>
      </c>
      <c r="Q85" s="113">
        <f>IF(P$56=0,0,P85/P$56)</f>
        <v>0</v>
      </c>
      <c r="R85" s="120"/>
      <c r="S85" s="120"/>
      <c r="T85" s="110"/>
    </row>
    <row r="86" spans="1:20" s="65" customFormat="1" ht="7.5" customHeight="1">
      <c r="A86" s="148" t="s">
        <v>301</v>
      </c>
      <c r="B86" s="140" t="s">
        <v>301</v>
      </c>
      <c r="C86" s="110"/>
      <c r="D86" s="110"/>
      <c r="E86" s="110"/>
      <c r="F86" s="110"/>
      <c r="G86" s="110"/>
      <c r="H86" s="110"/>
      <c r="I86" s="110"/>
      <c r="J86" s="142"/>
      <c r="K86" s="142"/>
      <c r="L86" s="142"/>
      <c r="M86" s="142"/>
      <c r="N86" s="142"/>
      <c r="O86" s="142"/>
      <c r="P86" s="142"/>
      <c r="Q86" s="137"/>
      <c r="R86" s="120"/>
      <c r="S86" s="120"/>
      <c r="T86" s="110"/>
    </row>
    <row r="87" spans="1:20" s="65" customFormat="1">
      <c r="A87" s="138" t="s">
        <v>301</v>
      </c>
      <c r="B87" s="140" t="s">
        <v>301</v>
      </c>
      <c r="C87" s="110"/>
      <c r="D87" s="110"/>
      <c r="E87" s="145" t="s">
        <v>342</v>
      </c>
      <c r="F87" s="110"/>
      <c r="G87" s="110"/>
      <c r="H87" s="110"/>
      <c r="I87" s="110"/>
      <c r="J87" s="146">
        <f>+J63+J75+J81+J67+J85</f>
        <v>77744.83</v>
      </c>
      <c r="K87" s="142"/>
      <c r="L87" s="146">
        <f>+L63+L75+L81+L67+L85</f>
        <v>75972.28</v>
      </c>
      <c r="M87" s="142"/>
      <c r="N87" s="146">
        <f>+N63+N75+N81+N67+N85</f>
        <v>90345.91</v>
      </c>
      <c r="O87" s="142"/>
      <c r="P87" s="146">
        <f>+P63+P75+P81+P67+P85</f>
        <v>244063.02000000002</v>
      </c>
      <c r="Q87" s="113">
        <f>IF(P$56=0,0,P87/P$56)</f>
        <v>0.3414730972169685</v>
      </c>
      <c r="R87" s="120"/>
      <c r="S87" s="120"/>
      <c r="T87" s="110"/>
    </row>
    <row r="88" spans="1:20" s="65" customFormat="1" ht="7.5" customHeight="1">
      <c r="A88" s="140" t="s">
        <v>301</v>
      </c>
      <c r="B88" s="140" t="s">
        <v>301</v>
      </c>
      <c r="C88" s="110"/>
      <c r="D88" s="110"/>
      <c r="E88" s="110"/>
      <c r="F88" s="110"/>
      <c r="G88" s="110"/>
      <c r="H88" s="110"/>
      <c r="I88" s="110"/>
      <c r="J88" s="142"/>
      <c r="K88" s="142"/>
      <c r="L88" s="142"/>
      <c r="M88" s="142"/>
      <c r="N88" s="142"/>
      <c r="O88" s="142"/>
      <c r="P88" s="142"/>
      <c r="Q88" s="137"/>
      <c r="R88" s="120"/>
      <c r="S88" s="120"/>
      <c r="T88" s="110"/>
    </row>
    <row r="89" spans="1:20" s="65" customFormat="1">
      <c r="A89" s="140" t="s">
        <v>301</v>
      </c>
      <c r="B89" s="140" t="s">
        <v>301</v>
      </c>
      <c r="C89" s="110"/>
      <c r="D89" s="110"/>
      <c r="E89" s="150" t="s">
        <v>343</v>
      </c>
      <c r="F89" s="110"/>
      <c r="G89" s="110"/>
      <c r="H89" s="110"/>
      <c r="I89" s="110"/>
      <c r="J89" s="146">
        <f>J56-J87</f>
        <v>156871.10999999999</v>
      </c>
      <c r="K89" s="142"/>
      <c r="L89" s="146">
        <f>L56-L87</f>
        <v>158380.41</v>
      </c>
      <c r="M89" s="142"/>
      <c r="N89" s="146">
        <f>N56-N87</f>
        <v>155421.18000000002</v>
      </c>
      <c r="O89" s="142"/>
      <c r="P89" s="146">
        <f>P56-P87</f>
        <v>470672.70000000007</v>
      </c>
      <c r="Q89" s="113">
        <f>IF(P$56=0,0,P89/P$56)</f>
        <v>0.6585269027830315</v>
      </c>
      <c r="R89" s="120"/>
      <c r="S89" s="120"/>
      <c r="T89" s="110"/>
    </row>
    <row r="90" spans="1:20" s="65" customFormat="1" ht="7.5" customHeight="1">
      <c r="A90" s="140" t="s">
        <v>301</v>
      </c>
      <c r="B90" s="140" t="s">
        <v>301</v>
      </c>
      <c r="C90" s="110"/>
      <c r="D90" s="110"/>
      <c r="E90" s="110"/>
      <c r="F90" s="110"/>
      <c r="G90" s="110"/>
      <c r="H90" s="110"/>
      <c r="I90" s="110"/>
      <c r="J90" s="142"/>
      <c r="K90" s="142"/>
      <c r="L90" s="142"/>
      <c r="M90" s="142"/>
      <c r="N90" s="142"/>
      <c r="O90" s="142"/>
      <c r="P90" s="142"/>
      <c r="Q90" s="137"/>
      <c r="R90" s="120"/>
      <c r="S90" s="120"/>
      <c r="T90" s="110"/>
    </row>
    <row r="91" spans="1:20" s="65" customFormat="1" outlineLevel="1">
      <c r="A91" s="140" t="s">
        <v>301</v>
      </c>
      <c r="B91" s="140"/>
      <c r="C91" s="110"/>
      <c r="D91" s="110"/>
      <c r="E91" s="110"/>
      <c r="F91" s="110"/>
      <c r="G91" s="110"/>
      <c r="H91" s="110"/>
      <c r="I91" s="110"/>
      <c r="J91" s="142"/>
      <c r="K91" s="142"/>
      <c r="L91" s="142"/>
      <c r="M91" s="142"/>
      <c r="N91" s="142"/>
      <c r="O91" s="142"/>
      <c r="P91" s="142"/>
      <c r="Q91" s="137"/>
      <c r="R91" s="120"/>
      <c r="S91" s="120"/>
      <c r="T91" s="110"/>
    </row>
    <row r="92" spans="1:20" outlineLevel="1">
      <c r="A92" s="105"/>
      <c r="B92" s="106" t="s">
        <v>344</v>
      </c>
      <c r="C92" s="105"/>
      <c r="D92" s="107">
        <v>50020</v>
      </c>
      <c r="E92" s="107" t="s">
        <v>345</v>
      </c>
      <c r="F92" s="108"/>
      <c r="G92" s="109"/>
      <c r="H92" s="110"/>
      <c r="I92" s="111"/>
      <c r="J92" s="112">
        <v>31574.86</v>
      </c>
      <c r="K92" s="111"/>
      <c r="L92" s="112">
        <v>32271.62</v>
      </c>
      <c r="M92" s="111"/>
      <c r="N92" s="112">
        <v>36816.04</v>
      </c>
      <c r="O92" s="111"/>
      <c r="P92" s="112">
        <v>100662.52</v>
      </c>
      <c r="Q92" s="113">
        <f t="shared" ref="Q92:Q101" si="6">IF(P$56=0,0,P92/P$56)</f>
        <v>0.14083879843027852</v>
      </c>
      <c r="R92" s="114"/>
      <c r="S92" s="115"/>
      <c r="T92" s="105"/>
    </row>
    <row r="93" spans="1:20" outlineLevel="1">
      <c r="A93" s="105"/>
      <c r="B93" s="106" t="s">
        <v>308</v>
      </c>
      <c r="C93" s="105"/>
      <c r="D93" s="107">
        <v>50025</v>
      </c>
      <c r="E93" s="107" t="s">
        <v>346</v>
      </c>
      <c r="F93" s="108"/>
      <c r="G93" s="109"/>
      <c r="H93" s="110"/>
      <c r="I93" s="111"/>
      <c r="J93" s="112">
        <v>2600.2800000000002</v>
      </c>
      <c r="K93" s="111"/>
      <c r="L93" s="112">
        <v>2187.31</v>
      </c>
      <c r="M93" s="111"/>
      <c r="N93" s="112">
        <v>2664.08</v>
      </c>
      <c r="O93" s="111"/>
      <c r="P93" s="112">
        <v>7451.67</v>
      </c>
      <c r="Q93" s="113">
        <f t="shared" si="6"/>
        <v>1.0425769681694374E-2</v>
      </c>
      <c r="R93" s="114"/>
      <c r="S93" s="115"/>
      <c r="T93" s="105"/>
    </row>
    <row r="94" spans="1:20" outlineLevel="1">
      <c r="A94" s="105"/>
      <c r="B94" s="106" t="s">
        <v>308</v>
      </c>
      <c r="C94" s="105"/>
      <c r="D94" s="107">
        <v>50035</v>
      </c>
      <c r="E94" s="107" t="s">
        <v>347</v>
      </c>
      <c r="F94" s="108"/>
      <c r="G94" s="109"/>
      <c r="H94" s="110"/>
      <c r="I94" s="111"/>
      <c r="J94" s="112">
        <v>1401</v>
      </c>
      <c r="K94" s="111"/>
      <c r="L94" s="112">
        <v>1317</v>
      </c>
      <c r="M94" s="111"/>
      <c r="N94" s="112">
        <v>1331</v>
      </c>
      <c r="O94" s="111"/>
      <c r="P94" s="112">
        <v>4049</v>
      </c>
      <c r="Q94" s="113">
        <f t="shared" si="6"/>
        <v>5.6650309851591016E-3</v>
      </c>
      <c r="R94" s="114"/>
      <c r="S94" s="115"/>
      <c r="T94" s="105"/>
    </row>
    <row r="95" spans="1:20" outlineLevel="1">
      <c r="A95" s="105"/>
      <c r="B95" s="106" t="s">
        <v>308</v>
      </c>
      <c r="C95" s="105"/>
      <c r="D95" s="107">
        <v>50050</v>
      </c>
      <c r="E95" s="107" t="s">
        <v>348</v>
      </c>
      <c r="F95" s="108"/>
      <c r="G95" s="109"/>
      <c r="H95" s="110"/>
      <c r="I95" s="111"/>
      <c r="J95" s="112">
        <v>3394.56</v>
      </c>
      <c r="K95" s="111"/>
      <c r="L95" s="112">
        <v>3214.83</v>
      </c>
      <c r="M95" s="111"/>
      <c r="N95" s="112">
        <v>3176.09</v>
      </c>
      <c r="O95" s="111"/>
      <c r="P95" s="112">
        <v>9785.48</v>
      </c>
      <c r="Q95" s="113">
        <f t="shared" si="6"/>
        <v>1.3691046531156997E-2</v>
      </c>
      <c r="R95" s="114"/>
      <c r="S95" s="115"/>
      <c r="T95" s="105"/>
    </row>
    <row r="96" spans="1:20" outlineLevel="1">
      <c r="A96" s="105"/>
      <c r="B96" s="106" t="s">
        <v>308</v>
      </c>
      <c r="C96" s="105"/>
      <c r="D96" s="107">
        <v>50060</v>
      </c>
      <c r="E96" s="107" t="s">
        <v>349</v>
      </c>
      <c r="F96" s="108"/>
      <c r="G96" s="109"/>
      <c r="H96" s="110"/>
      <c r="I96" s="111"/>
      <c r="J96" s="112">
        <v>7819.72</v>
      </c>
      <c r="K96" s="111"/>
      <c r="L96" s="112">
        <v>7744.03</v>
      </c>
      <c r="M96" s="111"/>
      <c r="N96" s="112">
        <v>7819.72</v>
      </c>
      <c r="O96" s="111"/>
      <c r="P96" s="112">
        <v>23383.47</v>
      </c>
      <c r="Q96" s="113">
        <f t="shared" si="6"/>
        <v>3.2716246502973154E-2</v>
      </c>
      <c r="R96" s="114"/>
      <c r="S96" s="115"/>
      <c r="T96" s="105"/>
    </row>
    <row r="97" spans="1:20" outlineLevel="1">
      <c r="A97" s="105"/>
      <c r="B97" s="106" t="s">
        <v>308</v>
      </c>
      <c r="C97" s="105"/>
      <c r="D97" s="107">
        <v>50065</v>
      </c>
      <c r="E97" s="107" t="s">
        <v>350</v>
      </c>
      <c r="F97" s="108"/>
      <c r="G97" s="109"/>
      <c r="H97" s="110"/>
      <c r="I97" s="111"/>
      <c r="J97" s="112">
        <v>1490.22</v>
      </c>
      <c r="K97" s="111"/>
      <c r="L97" s="112">
        <v>1344.18</v>
      </c>
      <c r="M97" s="111"/>
      <c r="N97" s="112">
        <v>1982.56</v>
      </c>
      <c r="O97" s="111"/>
      <c r="P97" s="112">
        <v>4816.96</v>
      </c>
      <c r="Q97" s="113">
        <f t="shared" si="6"/>
        <v>6.7394980623047629E-3</v>
      </c>
      <c r="R97" s="114"/>
      <c r="S97" s="115"/>
      <c r="T97" s="105"/>
    </row>
    <row r="98" spans="1:20" outlineLevel="1">
      <c r="A98" s="105"/>
      <c r="B98" s="106" t="s">
        <v>308</v>
      </c>
      <c r="C98" s="105"/>
      <c r="D98" s="107">
        <v>50070</v>
      </c>
      <c r="E98" s="107" t="s">
        <v>351</v>
      </c>
      <c r="F98" s="108"/>
      <c r="G98" s="109"/>
      <c r="H98" s="110"/>
      <c r="I98" s="111"/>
      <c r="J98" s="112">
        <v>596.70000000000005</v>
      </c>
      <c r="K98" s="111"/>
      <c r="L98" s="112">
        <v>218.79</v>
      </c>
      <c r="M98" s="111"/>
      <c r="N98" s="112">
        <v>99.45</v>
      </c>
      <c r="O98" s="111"/>
      <c r="P98" s="112">
        <v>914.94</v>
      </c>
      <c r="Q98" s="113">
        <f t="shared" si="6"/>
        <v>1.2801095207610443E-3</v>
      </c>
      <c r="R98" s="114"/>
      <c r="S98" s="115"/>
      <c r="T98" s="105"/>
    </row>
    <row r="99" spans="1:20" outlineLevel="1">
      <c r="A99" s="105"/>
      <c r="B99" s="106" t="s">
        <v>308</v>
      </c>
      <c r="C99" s="105"/>
      <c r="D99" s="107">
        <v>50086</v>
      </c>
      <c r="E99" s="107" t="s">
        <v>352</v>
      </c>
      <c r="F99" s="108"/>
      <c r="G99" s="109"/>
      <c r="H99" s="110"/>
      <c r="I99" s="111"/>
      <c r="J99" s="112">
        <v>1236.26</v>
      </c>
      <c r="K99" s="111"/>
      <c r="L99" s="112">
        <v>44.05</v>
      </c>
      <c r="M99" s="111"/>
      <c r="N99" s="112">
        <v>554.9</v>
      </c>
      <c r="O99" s="111"/>
      <c r="P99" s="112">
        <v>1835.21</v>
      </c>
      <c r="Q99" s="113">
        <f t="shared" si="6"/>
        <v>2.5676763433622705E-3</v>
      </c>
      <c r="R99" s="114"/>
      <c r="S99" s="115"/>
      <c r="T99" s="105"/>
    </row>
    <row r="100" spans="1:20" outlineLevel="1">
      <c r="A100" s="105"/>
      <c r="B100" s="106" t="s">
        <v>308</v>
      </c>
      <c r="C100" s="105"/>
      <c r="D100" s="107">
        <v>50090</v>
      </c>
      <c r="E100" s="107" t="s">
        <v>353</v>
      </c>
      <c r="F100" s="108"/>
      <c r="G100" s="109"/>
      <c r="H100" s="110"/>
      <c r="I100" s="111"/>
      <c r="J100" s="112">
        <v>166.56</v>
      </c>
      <c r="K100" s="111"/>
      <c r="L100" s="112">
        <v>313.95</v>
      </c>
      <c r="M100" s="111"/>
      <c r="N100" s="112">
        <v>575.42999999999995</v>
      </c>
      <c r="O100" s="111"/>
      <c r="P100" s="112">
        <v>1055.94</v>
      </c>
      <c r="Q100" s="113">
        <f t="shared" si="6"/>
        <v>1.4773852354825639E-3</v>
      </c>
      <c r="R100" s="114"/>
      <c r="S100" s="115"/>
      <c r="T100" s="105"/>
    </row>
    <row r="101" spans="1:20" outlineLevel="1">
      <c r="A101" s="105"/>
      <c r="B101" s="106" t="s">
        <v>308</v>
      </c>
      <c r="C101" s="105"/>
      <c r="D101" s="107">
        <v>50115</v>
      </c>
      <c r="E101" s="107" t="s">
        <v>354</v>
      </c>
      <c r="F101" s="108"/>
      <c r="G101" s="109"/>
      <c r="H101" s="110"/>
      <c r="I101" s="111"/>
      <c r="J101" s="112">
        <v>510.78</v>
      </c>
      <c r="K101" s="111"/>
      <c r="L101" s="112">
        <v>514.52</v>
      </c>
      <c r="M101" s="111"/>
      <c r="N101" s="112">
        <v>497.02</v>
      </c>
      <c r="O101" s="111"/>
      <c r="P101" s="112">
        <v>1522.32</v>
      </c>
      <c r="Q101" s="113">
        <f t="shared" si="6"/>
        <v>2.1299061420912329E-3</v>
      </c>
      <c r="R101" s="114"/>
      <c r="S101" s="115"/>
      <c r="T101" s="105"/>
    </row>
    <row r="102" spans="1:20" s="65" customFormat="1" ht="5.0999999999999996" customHeight="1" outlineLevel="1">
      <c r="A102" s="140"/>
      <c r="B102" s="138" t="s">
        <v>301</v>
      </c>
      <c r="C102" s="110"/>
      <c r="D102" s="108"/>
      <c r="E102" s="108"/>
      <c r="F102" s="108"/>
      <c r="G102" s="108"/>
      <c r="H102" s="110"/>
      <c r="I102" s="110"/>
      <c r="J102" s="143"/>
      <c r="K102" s="142"/>
      <c r="L102" s="143"/>
      <c r="M102" s="142"/>
      <c r="N102" s="143"/>
      <c r="O102" s="142"/>
      <c r="P102" s="143"/>
      <c r="Q102" s="137"/>
      <c r="R102" s="120"/>
      <c r="S102" s="120"/>
      <c r="T102" s="110"/>
    </row>
    <row r="103" spans="1:20" s="65" customFormat="1">
      <c r="A103" s="140" t="s">
        <v>344</v>
      </c>
      <c r="B103" s="138" t="s">
        <v>301</v>
      </c>
      <c r="C103" s="110"/>
      <c r="D103" s="110"/>
      <c r="E103" s="110"/>
      <c r="F103" s="108" t="s">
        <v>355</v>
      </c>
      <c r="G103" s="110"/>
      <c r="H103" s="110"/>
      <c r="I103" s="110"/>
      <c r="J103" s="141">
        <f>SUM(J91:J102)</f>
        <v>50790.939999999995</v>
      </c>
      <c r="K103" s="142"/>
      <c r="L103" s="141">
        <f>SUM(L91:L102)</f>
        <v>49170.28</v>
      </c>
      <c r="M103" s="142"/>
      <c r="N103" s="141">
        <f>SUM(N91:N102)</f>
        <v>55516.29</v>
      </c>
      <c r="O103" s="142"/>
      <c r="P103" s="141">
        <f>SUM(P91:P102)</f>
        <v>155477.51</v>
      </c>
      <c r="Q103" s="113">
        <f>IF(P$56=0,0,P103/P$56)</f>
        <v>0.21753146743526403</v>
      </c>
      <c r="R103" s="120"/>
      <c r="S103" s="120"/>
      <c r="T103" s="110"/>
    </row>
    <row r="104" spans="1:20" s="65" customFormat="1" outlineLevel="1">
      <c r="A104" s="138" t="s">
        <v>301</v>
      </c>
      <c r="B104" s="147"/>
      <c r="C104" s="110"/>
      <c r="D104" s="110"/>
      <c r="E104" s="110"/>
      <c r="F104" s="110"/>
      <c r="G104" s="110"/>
      <c r="H104" s="110"/>
      <c r="I104" s="110"/>
      <c r="J104" s="142"/>
      <c r="K104" s="142"/>
      <c r="L104" s="142"/>
      <c r="M104" s="142"/>
      <c r="N104" s="142"/>
      <c r="O104" s="142"/>
      <c r="P104" s="142"/>
      <c r="Q104" s="137"/>
      <c r="R104" s="120"/>
      <c r="S104" s="120"/>
      <c r="T104" s="110"/>
    </row>
    <row r="105" spans="1:20" outlineLevel="1">
      <c r="A105" s="105"/>
      <c r="B105" s="106" t="s">
        <v>356</v>
      </c>
      <c r="C105" s="105"/>
      <c r="D105" s="107">
        <v>51295</v>
      </c>
      <c r="E105" s="107" t="s">
        <v>357</v>
      </c>
      <c r="F105" s="108"/>
      <c r="G105" s="109"/>
      <c r="H105" s="110"/>
      <c r="I105" s="111"/>
      <c r="J105" s="112">
        <v>608.36</v>
      </c>
      <c r="K105" s="111"/>
      <c r="L105" s="112">
        <v>962.02</v>
      </c>
      <c r="M105" s="111"/>
      <c r="N105" s="112">
        <v>608.36</v>
      </c>
      <c r="O105" s="111"/>
      <c r="P105" s="112">
        <v>2178.7399999999998</v>
      </c>
      <c r="Q105" s="113">
        <f>IF(P$56=0,0,P105/P$56)</f>
        <v>3.048315536825275E-3</v>
      </c>
      <c r="R105" s="114"/>
      <c r="S105" s="115"/>
      <c r="T105" s="105"/>
    </row>
    <row r="106" spans="1:20" s="65" customFormat="1" ht="5.0999999999999996" customHeight="1" outlineLevel="1">
      <c r="A106" s="148"/>
      <c r="B106" s="140" t="s">
        <v>301</v>
      </c>
      <c r="C106" s="110"/>
      <c r="D106" s="108"/>
      <c r="E106" s="108"/>
      <c r="F106" s="108"/>
      <c r="G106" s="108"/>
      <c r="H106" s="110"/>
      <c r="I106" s="110"/>
      <c r="J106" s="143"/>
      <c r="K106" s="142"/>
      <c r="L106" s="143"/>
      <c r="M106" s="142"/>
      <c r="N106" s="143"/>
      <c r="O106" s="142"/>
      <c r="P106" s="143"/>
      <c r="Q106" s="137"/>
      <c r="R106" s="120"/>
      <c r="S106" s="120"/>
      <c r="T106" s="110"/>
    </row>
    <row r="107" spans="1:20" s="65" customFormat="1">
      <c r="A107" s="140" t="s">
        <v>356</v>
      </c>
      <c r="B107" s="140"/>
      <c r="C107" s="110"/>
      <c r="D107" s="110"/>
      <c r="E107" s="110"/>
      <c r="F107" s="108" t="s">
        <v>358</v>
      </c>
      <c r="G107" s="110"/>
      <c r="H107" s="110"/>
      <c r="I107" s="110"/>
      <c r="J107" s="141">
        <f>SUM(J105:J106)</f>
        <v>608.36</v>
      </c>
      <c r="K107" s="142"/>
      <c r="L107" s="141">
        <f>SUM(L105:L106)</f>
        <v>962.02</v>
      </c>
      <c r="M107" s="142"/>
      <c r="N107" s="141">
        <f>SUM(N105:N106)</f>
        <v>608.36</v>
      </c>
      <c r="O107" s="142"/>
      <c r="P107" s="141">
        <f>SUM(P105:P106)</f>
        <v>2178.7399999999998</v>
      </c>
      <c r="Q107" s="113">
        <f>IF(P$56=0,0,P107/P$56)</f>
        <v>3.048315536825275E-3</v>
      </c>
      <c r="R107" s="120"/>
      <c r="S107" s="120"/>
      <c r="T107" s="110"/>
    </row>
    <row r="108" spans="1:20" s="65" customFormat="1" outlineLevel="1">
      <c r="A108" s="140" t="s">
        <v>301</v>
      </c>
      <c r="B108" s="140"/>
      <c r="C108" s="110"/>
      <c r="D108" s="110"/>
      <c r="E108" s="110"/>
      <c r="F108" s="110"/>
      <c r="G108" s="110"/>
      <c r="H108" s="110"/>
      <c r="I108" s="110"/>
      <c r="J108" s="142"/>
      <c r="K108" s="142"/>
      <c r="L108" s="142"/>
      <c r="M108" s="142"/>
      <c r="N108" s="142"/>
      <c r="O108" s="142"/>
      <c r="P108" s="142"/>
      <c r="Q108" s="137"/>
      <c r="R108" s="120"/>
      <c r="S108" s="120"/>
      <c r="T108" s="110"/>
    </row>
    <row r="109" spans="1:20" s="65" customFormat="1" outlineLevel="1">
      <c r="A109" s="140"/>
      <c r="B109" s="140"/>
      <c r="C109" s="110"/>
      <c r="D109" s="110"/>
      <c r="E109" s="110"/>
      <c r="F109" s="110"/>
      <c r="G109" s="110"/>
      <c r="H109" s="110"/>
      <c r="I109" s="110"/>
      <c r="J109" s="142"/>
      <c r="K109" s="142"/>
      <c r="L109" s="142"/>
      <c r="M109" s="142"/>
      <c r="N109" s="142"/>
      <c r="O109" s="142"/>
      <c r="P109" s="142"/>
      <c r="Q109" s="137"/>
      <c r="R109" s="120"/>
      <c r="S109" s="120"/>
      <c r="T109" s="110"/>
    </row>
    <row r="110" spans="1:20" outlineLevel="1">
      <c r="A110" s="105"/>
      <c r="B110" s="106" t="s">
        <v>359</v>
      </c>
      <c r="C110" s="105"/>
      <c r="D110" s="107">
        <v>52010</v>
      </c>
      <c r="E110" s="107" t="s">
        <v>360</v>
      </c>
      <c r="F110" s="108"/>
      <c r="G110" s="109"/>
      <c r="H110" s="110"/>
      <c r="I110" s="111"/>
      <c r="J110" s="112">
        <v>3634.61</v>
      </c>
      <c r="K110" s="111"/>
      <c r="L110" s="112">
        <v>3634.62</v>
      </c>
      <c r="M110" s="111"/>
      <c r="N110" s="112">
        <v>3980.77</v>
      </c>
      <c r="O110" s="111"/>
      <c r="P110" s="112">
        <v>11250</v>
      </c>
      <c r="Q110" s="113">
        <f t="shared" ref="Q110:Q128" si="7">IF(P$56=0,0,P110/P$56)</f>
        <v>1.5740083621397848E-2</v>
      </c>
      <c r="R110" s="114"/>
      <c r="S110" s="115"/>
      <c r="T110" s="105"/>
    </row>
    <row r="111" spans="1:20" outlineLevel="1">
      <c r="A111" s="105"/>
      <c r="B111" s="106" t="s">
        <v>308</v>
      </c>
      <c r="C111" s="105"/>
      <c r="D111" s="107">
        <v>52020</v>
      </c>
      <c r="E111" s="107" t="s">
        <v>345</v>
      </c>
      <c r="F111" s="108"/>
      <c r="G111" s="109"/>
      <c r="H111" s="110"/>
      <c r="I111" s="111"/>
      <c r="J111" s="112">
        <v>2993.09</v>
      </c>
      <c r="K111" s="111"/>
      <c r="L111" s="112">
        <v>2926.44</v>
      </c>
      <c r="M111" s="111"/>
      <c r="N111" s="112">
        <v>3186.82</v>
      </c>
      <c r="O111" s="111"/>
      <c r="P111" s="112">
        <v>9106.35</v>
      </c>
      <c r="Q111" s="113">
        <f t="shared" si="7"/>
        <v>1.2740863154285893E-2</v>
      </c>
      <c r="R111" s="114"/>
      <c r="S111" s="115"/>
      <c r="T111" s="105"/>
    </row>
    <row r="112" spans="1:20" outlineLevel="1">
      <c r="A112" s="105"/>
      <c r="B112" s="106" t="s">
        <v>308</v>
      </c>
      <c r="C112" s="105"/>
      <c r="D112" s="107">
        <v>52025</v>
      </c>
      <c r="E112" s="107" t="s">
        <v>346</v>
      </c>
      <c r="F112" s="108"/>
      <c r="G112" s="109"/>
      <c r="H112" s="110"/>
      <c r="I112" s="111"/>
      <c r="J112" s="112">
        <v>102.37</v>
      </c>
      <c r="K112" s="111"/>
      <c r="L112" s="112">
        <v>68.989999999999995</v>
      </c>
      <c r="M112" s="111"/>
      <c r="N112" s="112">
        <v>139.32</v>
      </c>
      <c r="O112" s="111"/>
      <c r="P112" s="112">
        <v>310.68</v>
      </c>
      <c r="Q112" s="113">
        <f t="shared" si="7"/>
        <v>4.3467814928852298E-4</v>
      </c>
      <c r="R112" s="114"/>
      <c r="S112" s="115"/>
      <c r="T112" s="105"/>
    </row>
    <row r="113" spans="1:20" outlineLevel="1">
      <c r="A113" s="105"/>
      <c r="B113" s="106" t="s">
        <v>308</v>
      </c>
      <c r="C113" s="105"/>
      <c r="D113" s="107">
        <v>52050</v>
      </c>
      <c r="E113" s="107" t="s">
        <v>348</v>
      </c>
      <c r="F113" s="108"/>
      <c r="G113" s="109"/>
      <c r="H113" s="110"/>
      <c r="I113" s="111"/>
      <c r="J113" s="112">
        <v>629.41999999999996</v>
      </c>
      <c r="K113" s="111"/>
      <c r="L113" s="112">
        <v>580.98</v>
      </c>
      <c r="M113" s="111"/>
      <c r="N113" s="112">
        <v>586.67999999999995</v>
      </c>
      <c r="O113" s="111"/>
      <c r="P113" s="112">
        <v>1797.08</v>
      </c>
      <c r="Q113" s="113">
        <f t="shared" si="7"/>
        <v>2.5143279532748126E-3</v>
      </c>
      <c r="R113" s="114"/>
      <c r="S113" s="115"/>
      <c r="T113" s="105"/>
    </row>
    <row r="114" spans="1:20" outlineLevel="1">
      <c r="A114" s="105"/>
      <c r="B114" s="106" t="s">
        <v>308</v>
      </c>
      <c r="C114" s="105"/>
      <c r="D114" s="107">
        <v>52060</v>
      </c>
      <c r="E114" s="107" t="s">
        <v>349</v>
      </c>
      <c r="F114" s="108"/>
      <c r="G114" s="109"/>
      <c r="H114" s="110"/>
      <c r="I114" s="111"/>
      <c r="J114" s="112">
        <v>1697.24</v>
      </c>
      <c r="K114" s="111"/>
      <c r="L114" s="112">
        <v>1697.24</v>
      </c>
      <c r="M114" s="111"/>
      <c r="N114" s="112">
        <v>1697.24</v>
      </c>
      <c r="O114" s="111"/>
      <c r="P114" s="112">
        <v>5091.72</v>
      </c>
      <c r="Q114" s="113">
        <f t="shared" si="7"/>
        <v>7.1239198734883427E-3</v>
      </c>
      <c r="R114" s="114"/>
      <c r="S114" s="115"/>
      <c r="T114" s="105"/>
    </row>
    <row r="115" spans="1:20" outlineLevel="1">
      <c r="A115" s="105"/>
      <c r="B115" s="106" t="s">
        <v>308</v>
      </c>
      <c r="C115" s="105"/>
      <c r="D115" s="107">
        <v>52065</v>
      </c>
      <c r="E115" s="107" t="s">
        <v>350</v>
      </c>
      <c r="F115" s="108"/>
      <c r="G115" s="109"/>
      <c r="H115" s="110"/>
      <c r="I115" s="111"/>
      <c r="J115" s="112">
        <v>223.52</v>
      </c>
      <c r="K115" s="111"/>
      <c r="L115" s="112">
        <v>209.1</v>
      </c>
      <c r="M115" s="111"/>
      <c r="N115" s="112">
        <v>223.52</v>
      </c>
      <c r="O115" s="111"/>
      <c r="P115" s="112">
        <v>656.14</v>
      </c>
      <c r="Q115" s="113">
        <f t="shared" si="7"/>
        <v>9.1801764154168743E-4</v>
      </c>
      <c r="R115" s="114"/>
      <c r="S115" s="115"/>
      <c r="T115" s="105"/>
    </row>
    <row r="116" spans="1:20" outlineLevel="1">
      <c r="A116" s="105"/>
      <c r="B116" s="106" t="s">
        <v>308</v>
      </c>
      <c r="C116" s="105"/>
      <c r="D116" s="107">
        <v>52070</v>
      </c>
      <c r="E116" s="107" t="s">
        <v>351</v>
      </c>
      <c r="F116" s="108"/>
      <c r="G116" s="109"/>
      <c r="H116" s="110"/>
      <c r="I116" s="111"/>
      <c r="J116" s="112">
        <v>0</v>
      </c>
      <c r="K116" s="111"/>
      <c r="L116" s="112">
        <v>0</v>
      </c>
      <c r="M116" s="111"/>
      <c r="N116" s="112">
        <v>0</v>
      </c>
      <c r="O116" s="111"/>
      <c r="P116" s="112">
        <v>0</v>
      </c>
      <c r="Q116" s="113">
        <f t="shared" si="7"/>
        <v>0</v>
      </c>
      <c r="R116" s="114"/>
      <c r="S116" s="115"/>
      <c r="T116" s="105"/>
    </row>
    <row r="117" spans="1:20" outlineLevel="1">
      <c r="A117" s="105"/>
      <c r="B117" s="106" t="s">
        <v>308</v>
      </c>
      <c r="C117" s="105"/>
      <c r="D117" s="107">
        <v>52087</v>
      </c>
      <c r="E117" s="107" t="s">
        <v>361</v>
      </c>
      <c r="F117" s="108"/>
      <c r="G117" s="109"/>
      <c r="H117" s="110"/>
      <c r="I117" s="111"/>
      <c r="J117" s="112">
        <v>150</v>
      </c>
      <c r="K117" s="111"/>
      <c r="L117" s="112">
        <v>300</v>
      </c>
      <c r="M117" s="111"/>
      <c r="N117" s="112">
        <v>0</v>
      </c>
      <c r="O117" s="111"/>
      <c r="P117" s="112">
        <v>450</v>
      </c>
      <c r="Q117" s="113">
        <f t="shared" si="7"/>
        <v>6.2960334485591396E-4</v>
      </c>
      <c r="R117" s="114"/>
      <c r="S117" s="115"/>
      <c r="T117" s="105"/>
    </row>
    <row r="118" spans="1:20" outlineLevel="1">
      <c r="A118" s="105"/>
      <c r="B118" s="106" t="s">
        <v>308</v>
      </c>
      <c r="C118" s="105"/>
      <c r="D118" s="107">
        <v>52090</v>
      </c>
      <c r="E118" s="107" t="s">
        <v>353</v>
      </c>
      <c r="F118" s="108"/>
      <c r="G118" s="109"/>
      <c r="H118" s="110"/>
      <c r="I118" s="111"/>
      <c r="J118" s="112">
        <v>271.75</v>
      </c>
      <c r="K118" s="111"/>
      <c r="L118" s="112">
        <v>0</v>
      </c>
      <c r="M118" s="111"/>
      <c r="N118" s="112">
        <v>0</v>
      </c>
      <c r="O118" s="111"/>
      <c r="P118" s="112">
        <v>271.75</v>
      </c>
      <c r="Q118" s="113">
        <f t="shared" si="7"/>
        <v>3.802104643657658E-4</v>
      </c>
      <c r="R118" s="114"/>
      <c r="S118" s="115"/>
      <c r="T118" s="105"/>
    </row>
    <row r="119" spans="1:20" outlineLevel="1">
      <c r="A119" s="105"/>
      <c r="B119" s="106" t="s">
        <v>308</v>
      </c>
      <c r="C119" s="105"/>
      <c r="D119" s="107">
        <v>52115</v>
      </c>
      <c r="E119" s="107" t="s">
        <v>354</v>
      </c>
      <c r="F119" s="108"/>
      <c r="G119" s="109"/>
      <c r="H119" s="110"/>
      <c r="I119" s="111"/>
      <c r="J119" s="112">
        <v>86.54</v>
      </c>
      <c r="K119" s="111"/>
      <c r="L119" s="112">
        <v>86.54</v>
      </c>
      <c r="M119" s="111"/>
      <c r="N119" s="112">
        <v>86.54</v>
      </c>
      <c r="O119" s="111"/>
      <c r="P119" s="112">
        <v>259.62</v>
      </c>
      <c r="Q119" s="113">
        <f t="shared" si="7"/>
        <v>3.632391564255386E-4</v>
      </c>
      <c r="R119" s="114"/>
      <c r="S119" s="115"/>
      <c r="T119" s="105"/>
    </row>
    <row r="120" spans="1:20" outlineLevel="1">
      <c r="A120" s="105"/>
      <c r="B120" s="106" t="s">
        <v>308</v>
      </c>
      <c r="C120" s="105"/>
      <c r="D120" s="107">
        <v>52120</v>
      </c>
      <c r="E120" s="107" t="s">
        <v>362</v>
      </c>
      <c r="F120" s="108"/>
      <c r="G120" s="109"/>
      <c r="H120" s="110"/>
      <c r="I120" s="111"/>
      <c r="J120" s="112">
        <v>7482.72</v>
      </c>
      <c r="K120" s="111"/>
      <c r="L120" s="112">
        <v>6628.7</v>
      </c>
      <c r="M120" s="111"/>
      <c r="N120" s="112">
        <v>7650.92</v>
      </c>
      <c r="O120" s="111"/>
      <c r="P120" s="112">
        <v>21762.34</v>
      </c>
      <c r="Q120" s="113">
        <f t="shared" si="7"/>
        <v>3.0448093457537E-2</v>
      </c>
      <c r="R120" s="114"/>
      <c r="S120" s="115"/>
      <c r="T120" s="105"/>
    </row>
    <row r="121" spans="1:20" outlineLevel="1">
      <c r="A121" s="105"/>
      <c r="B121" s="106" t="s">
        <v>308</v>
      </c>
      <c r="C121" s="105"/>
      <c r="D121" s="107">
        <v>52125</v>
      </c>
      <c r="E121" s="107" t="s">
        <v>363</v>
      </c>
      <c r="F121" s="108"/>
      <c r="G121" s="109"/>
      <c r="H121" s="110"/>
      <c r="I121" s="111"/>
      <c r="J121" s="112">
        <v>809.11</v>
      </c>
      <c r="K121" s="111"/>
      <c r="L121" s="112">
        <v>273.74</v>
      </c>
      <c r="M121" s="111"/>
      <c r="N121" s="112">
        <v>422.83</v>
      </c>
      <c r="O121" s="111"/>
      <c r="P121" s="112">
        <v>1505.68</v>
      </c>
      <c r="Q121" s="113">
        <f t="shared" si="7"/>
        <v>2.1066248095170056E-3</v>
      </c>
      <c r="R121" s="114"/>
      <c r="S121" s="115"/>
      <c r="T121" s="105"/>
    </row>
    <row r="122" spans="1:20" outlineLevel="1">
      <c r="A122" s="105"/>
      <c r="B122" s="106" t="s">
        <v>308</v>
      </c>
      <c r="C122" s="105"/>
      <c r="D122" s="107">
        <v>52140</v>
      </c>
      <c r="E122" s="107" t="s">
        <v>364</v>
      </c>
      <c r="F122" s="108"/>
      <c r="G122" s="109"/>
      <c r="H122" s="110"/>
      <c r="I122" s="111"/>
      <c r="J122" s="112">
        <v>3695.43</v>
      </c>
      <c r="K122" s="111"/>
      <c r="L122" s="112">
        <v>1214.3900000000001</v>
      </c>
      <c r="M122" s="111"/>
      <c r="N122" s="112">
        <v>1340.58</v>
      </c>
      <c r="O122" s="111"/>
      <c r="P122" s="112">
        <v>6250.4</v>
      </c>
      <c r="Q122" s="113">
        <f t="shared" si="7"/>
        <v>8.7450505481942321E-3</v>
      </c>
      <c r="R122" s="114"/>
      <c r="S122" s="115"/>
      <c r="T122" s="105"/>
    </row>
    <row r="123" spans="1:20" outlineLevel="1">
      <c r="A123" s="105"/>
      <c r="B123" s="106" t="s">
        <v>308</v>
      </c>
      <c r="C123" s="105"/>
      <c r="D123" s="107">
        <v>52142</v>
      </c>
      <c r="E123" s="107" t="s">
        <v>365</v>
      </c>
      <c r="F123" s="108"/>
      <c r="G123" s="109"/>
      <c r="H123" s="110"/>
      <c r="I123" s="111"/>
      <c r="J123" s="112">
        <v>8446.2199999999993</v>
      </c>
      <c r="K123" s="111"/>
      <c r="L123" s="112">
        <v>10031.620000000001</v>
      </c>
      <c r="M123" s="111"/>
      <c r="N123" s="112">
        <v>12316.6</v>
      </c>
      <c r="O123" s="111"/>
      <c r="P123" s="112">
        <v>30794.44</v>
      </c>
      <c r="Q123" s="113">
        <f t="shared" si="7"/>
        <v>4.3085072059921667E-2</v>
      </c>
      <c r="R123" s="114"/>
      <c r="S123" s="115"/>
      <c r="T123" s="105"/>
    </row>
    <row r="124" spans="1:20" outlineLevel="1">
      <c r="A124" s="105"/>
      <c r="B124" s="106" t="s">
        <v>308</v>
      </c>
      <c r="C124" s="105"/>
      <c r="D124" s="107">
        <v>52146</v>
      </c>
      <c r="E124" s="107" t="s">
        <v>366</v>
      </c>
      <c r="F124" s="108"/>
      <c r="G124" s="109"/>
      <c r="H124" s="110"/>
      <c r="I124" s="111"/>
      <c r="J124" s="112">
        <v>192.98</v>
      </c>
      <c r="K124" s="111"/>
      <c r="L124" s="112">
        <v>2959.25</v>
      </c>
      <c r="M124" s="111"/>
      <c r="N124" s="112">
        <v>1213.1199999999999</v>
      </c>
      <c r="O124" s="111"/>
      <c r="P124" s="112">
        <v>4365.3500000000004</v>
      </c>
      <c r="Q124" s="113">
        <f t="shared" si="7"/>
        <v>6.107642136592809E-3</v>
      </c>
      <c r="R124" s="114"/>
      <c r="S124" s="115"/>
      <c r="T124" s="105"/>
    </row>
    <row r="125" spans="1:20" outlineLevel="1">
      <c r="A125" s="105"/>
      <c r="B125" s="106" t="s">
        <v>308</v>
      </c>
      <c r="C125" s="105"/>
      <c r="D125" s="107">
        <v>52147</v>
      </c>
      <c r="E125" s="107" t="s">
        <v>367</v>
      </c>
      <c r="F125" s="108"/>
      <c r="G125" s="109"/>
      <c r="H125" s="110"/>
      <c r="I125" s="111"/>
      <c r="J125" s="112">
        <v>12809.78</v>
      </c>
      <c r="K125" s="111"/>
      <c r="L125" s="112">
        <v>4348.95</v>
      </c>
      <c r="M125" s="111"/>
      <c r="N125" s="112">
        <v>7214.92</v>
      </c>
      <c r="O125" s="111"/>
      <c r="P125" s="112">
        <v>24373.65</v>
      </c>
      <c r="Q125" s="113">
        <f t="shared" si="7"/>
        <v>3.4101625702994104E-2</v>
      </c>
      <c r="R125" s="114"/>
      <c r="S125" s="115"/>
      <c r="T125" s="105"/>
    </row>
    <row r="126" spans="1:20" outlineLevel="1">
      <c r="A126" s="105"/>
      <c r="B126" s="106" t="s">
        <v>308</v>
      </c>
      <c r="C126" s="105"/>
      <c r="D126" s="107">
        <v>52150</v>
      </c>
      <c r="E126" s="107" t="s">
        <v>368</v>
      </c>
      <c r="F126" s="108"/>
      <c r="G126" s="109"/>
      <c r="H126" s="110"/>
      <c r="I126" s="111"/>
      <c r="J126" s="112">
        <v>111.94</v>
      </c>
      <c r="K126" s="111"/>
      <c r="L126" s="112">
        <v>116.26</v>
      </c>
      <c r="M126" s="111"/>
      <c r="N126" s="112">
        <v>118.39</v>
      </c>
      <c r="O126" s="111"/>
      <c r="P126" s="112">
        <v>346.59</v>
      </c>
      <c r="Q126" s="113">
        <f t="shared" si="7"/>
        <v>4.8492049620802488E-4</v>
      </c>
      <c r="R126" s="114"/>
      <c r="S126" s="115"/>
      <c r="T126" s="105"/>
    </row>
    <row r="127" spans="1:20" outlineLevel="1">
      <c r="A127" s="105"/>
      <c r="B127" s="106" t="s">
        <v>308</v>
      </c>
      <c r="C127" s="105"/>
      <c r="D127" s="107">
        <v>52182</v>
      </c>
      <c r="E127" s="107" t="s">
        <v>370</v>
      </c>
      <c r="F127" s="108"/>
      <c r="G127" s="109"/>
      <c r="H127" s="110"/>
      <c r="I127" s="111"/>
      <c r="J127" s="112">
        <v>1039.19</v>
      </c>
      <c r="K127" s="111"/>
      <c r="L127" s="112">
        <v>815.95</v>
      </c>
      <c r="M127" s="111"/>
      <c r="N127" s="112">
        <v>1003.48</v>
      </c>
      <c r="O127" s="111"/>
      <c r="P127" s="112">
        <v>2858.62</v>
      </c>
      <c r="Q127" s="113">
        <f t="shared" si="7"/>
        <v>3.9995482526044724E-3</v>
      </c>
      <c r="R127" s="114"/>
      <c r="S127" s="115"/>
      <c r="T127" s="105"/>
    </row>
    <row r="128" spans="1:20" outlineLevel="1">
      <c r="A128" s="105"/>
      <c r="B128" s="106" t="s">
        <v>308</v>
      </c>
      <c r="C128" s="105"/>
      <c r="D128" s="107">
        <v>52901</v>
      </c>
      <c r="E128" s="107" t="s">
        <v>537</v>
      </c>
      <c r="F128" s="108"/>
      <c r="G128" s="109"/>
      <c r="H128" s="110"/>
      <c r="I128" s="111"/>
      <c r="J128" s="112">
        <v>0</v>
      </c>
      <c r="K128" s="111"/>
      <c r="L128" s="112">
        <v>0</v>
      </c>
      <c r="M128" s="111"/>
      <c r="N128" s="112">
        <v>0</v>
      </c>
      <c r="O128" s="111"/>
      <c r="P128" s="112">
        <v>0</v>
      </c>
      <c r="Q128" s="113">
        <f t="shared" si="7"/>
        <v>0</v>
      </c>
      <c r="R128" s="114"/>
      <c r="S128" s="115"/>
      <c r="T128" s="105"/>
    </row>
    <row r="129" spans="1:20" s="65" customFormat="1" ht="5.0999999999999996" customHeight="1" outlineLevel="1">
      <c r="A129" s="140"/>
      <c r="B129" s="140" t="s">
        <v>301</v>
      </c>
      <c r="C129" s="110"/>
      <c r="D129" s="108"/>
      <c r="E129" s="108"/>
      <c r="F129" s="108"/>
      <c r="G129" s="108"/>
      <c r="H129" s="110"/>
      <c r="I129" s="110"/>
      <c r="J129" s="143"/>
      <c r="K129" s="142"/>
      <c r="L129" s="143"/>
      <c r="M129" s="142"/>
      <c r="N129" s="143"/>
      <c r="O129" s="142"/>
      <c r="P129" s="143"/>
      <c r="Q129" s="137"/>
      <c r="R129" s="120"/>
      <c r="S129" s="120"/>
      <c r="T129" s="110"/>
    </row>
    <row r="130" spans="1:20" s="65" customFormat="1">
      <c r="A130" s="140" t="s">
        <v>359</v>
      </c>
      <c r="B130" s="140" t="s">
        <v>301</v>
      </c>
      <c r="C130" s="110"/>
      <c r="D130" s="110"/>
      <c r="E130" s="110"/>
      <c r="F130" s="108" t="s">
        <v>371</v>
      </c>
      <c r="G130" s="110"/>
      <c r="H130" s="110"/>
      <c r="I130" s="110"/>
      <c r="J130" s="141">
        <f>SUM(J109:J129)</f>
        <v>44375.910000000011</v>
      </c>
      <c r="K130" s="142"/>
      <c r="L130" s="141">
        <f>SUM(L109:L129)</f>
        <v>35892.769999999997</v>
      </c>
      <c r="M130" s="142"/>
      <c r="N130" s="141">
        <f>SUM(N109:N129)</f>
        <v>41181.730000000003</v>
      </c>
      <c r="O130" s="142"/>
      <c r="P130" s="141">
        <f>SUM(P109:P129)</f>
        <v>121450.41</v>
      </c>
      <c r="Q130" s="113">
        <f>IF(P$56=0,0,P130/P$56)</f>
        <v>0.16992352082249365</v>
      </c>
      <c r="R130" s="120"/>
      <c r="S130" s="120"/>
      <c r="T130" s="110"/>
    </row>
    <row r="131" spans="1:20" s="65" customFormat="1" outlineLevel="1">
      <c r="A131" s="140" t="s">
        <v>301</v>
      </c>
      <c r="B131" s="140" t="s">
        <v>301</v>
      </c>
      <c r="C131" s="110"/>
      <c r="D131" s="110"/>
      <c r="E131" s="110"/>
      <c r="F131" s="110"/>
      <c r="G131" s="110"/>
      <c r="H131" s="110"/>
      <c r="I131" s="110"/>
      <c r="J131" s="142"/>
      <c r="K131" s="142"/>
      <c r="L131" s="142"/>
      <c r="M131" s="142"/>
      <c r="N131" s="142"/>
      <c r="O131" s="142"/>
      <c r="P131" s="142"/>
      <c r="Q131" s="137"/>
      <c r="R131" s="120"/>
      <c r="S131" s="120"/>
      <c r="T131" s="110"/>
    </row>
    <row r="132" spans="1:20" s="65" customFormat="1" outlineLevel="1">
      <c r="A132" s="140" t="s">
        <v>301</v>
      </c>
      <c r="B132" s="147"/>
      <c r="C132" s="110"/>
      <c r="D132" s="110"/>
      <c r="E132" s="110"/>
      <c r="F132" s="110"/>
      <c r="G132" s="110"/>
      <c r="H132" s="110"/>
      <c r="I132" s="110"/>
      <c r="J132" s="142"/>
      <c r="K132" s="142"/>
      <c r="L132" s="142"/>
      <c r="M132" s="142"/>
      <c r="N132" s="142"/>
      <c r="O132" s="142"/>
      <c r="P132" s="142"/>
      <c r="Q132" s="137"/>
      <c r="R132" s="120"/>
      <c r="S132" s="120"/>
      <c r="T132" s="110"/>
    </row>
    <row r="133" spans="1:20" outlineLevel="1">
      <c r="A133" s="105"/>
      <c r="B133" s="106" t="s">
        <v>372</v>
      </c>
      <c r="C133" s="105"/>
      <c r="D133" s="107">
        <v>55120</v>
      </c>
      <c r="E133" s="107" t="s">
        <v>362</v>
      </c>
      <c r="F133" s="108"/>
      <c r="G133" s="109"/>
      <c r="H133" s="110"/>
      <c r="I133" s="111"/>
      <c r="J133" s="112">
        <v>1237.78</v>
      </c>
      <c r="K133" s="111"/>
      <c r="L133" s="112">
        <v>31.38</v>
      </c>
      <c r="M133" s="111"/>
      <c r="N133" s="112">
        <v>360</v>
      </c>
      <c r="O133" s="111"/>
      <c r="P133" s="112">
        <v>1629.16</v>
      </c>
      <c r="Q133" s="113">
        <f t="shared" ref="Q133:Q134" si="8">IF(P$56=0,0,P133/P$56)</f>
        <v>2.2793879673454684E-3</v>
      </c>
      <c r="R133" s="114"/>
      <c r="S133" s="115"/>
      <c r="T133" s="105"/>
    </row>
    <row r="134" spans="1:20" outlineLevel="1">
      <c r="A134" s="105"/>
      <c r="B134" s="106" t="s">
        <v>308</v>
      </c>
      <c r="C134" s="105"/>
      <c r="D134" s="107">
        <v>55125</v>
      </c>
      <c r="E134" s="107" t="s">
        <v>363</v>
      </c>
      <c r="F134" s="108"/>
      <c r="G134" s="109"/>
      <c r="H134" s="110"/>
      <c r="I134" s="111"/>
      <c r="J134" s="112">
        <v>13.96</v>
      </c>
      <c r="K134" s="111"/>
      <c r="L134" s="112">
        <v>57.03</v>
      </c>
      <c r="M134" s="111"/>
      <c r="N134" s="112">
        <v>97.99</v>
      </c>
      <c r="O134" s="111"/>
      <c r="P134" s="112">
        <v>168.98</v>
      </c>
      <c r="Q134" s="113">
        <f t="shared" si="8"/>
        <v>2.364230515861163E-4</v>
      </c>
      <c r="R134" s="114"/>
      <c r="S134" s="115"/>
      <c r="T134" s="105"/>
    </row>
    <row r="135" spans="1:20" s="65" customFormat="1" ht="5.0999999999999996" customHeight="1" outlineLevel="1">
      <c r="A135" s="148"/>
      <c r="B135" s="140" t="s">
        <v>301</v>
      </c>
      <c r="C135" s="110"/>
      <c r="D135" s="108"/>
      <c r="E135" s="108"/>
      <c r="F135" s="108"/>
      <c r="G135" s="108"/>
      <c r="H135" s="110"/>
      <c r="I135" s="110"/>
      <c r="J135" s="143"/>
      <c r="K135" s="142"/>
      <c r="L135" s="143"/>
      <c r="M135" s="142"/>
      <c r="N135" s="143"/>
      <c r="O135" s="142"/>
      <c r="P135" s="143"/>
      <c r="Q135" s="137"/>
      <c r="R135" s="120"/>
      <c r="S135" s="120"/>
      <c r="T135" s="110"/>
    </row>
    <row r="136" spans="1:20" s="65" customFormat="1">
      <c r="A136" s="140" t="s">
        <v>372</v>
      </c>
      <c r="B136" s="140"/>
      <c r="C136" s="110"/>
      <c r="D136" s="110"/>
      <c r="E136" s="110"/>
      <c r="F136" s="108" t="s">
        <v>374</v>
      </c>
      <c r="G136" s="110"/>
      <c r="H136" s="110"/>
      <c r="I136" s="110"/>
      <c r="J136" s="141">
        <f>SUM(J132:J135)</f>
        <v>1251.74</v>
      </c>
      <c r="K136" s="142"/>
      <c r="L136" s="141">
        <f>SUM(L132:L135)</f>
        <v>88.41</v>
      </c>
      <c r="M136" s="142"/>
      <c r="N136" s="141">
        <f>SUM(N132:N135)</f>
        <v>457.99</v>
      </c>
      <c r="O136" s="142"/>
      <c r="P136" s="141">
        <f>SUM(P132:P135)</f>
        <v>1798.14</v>
      </c>
      <c r="Q136" s="113">
        <f>IF(P$56=0,0,P136/P$56)</f>
        <v>2.5158110189315848E-3</v>
      </c>
      <c r="R136" s="120"/>
      <c r="S136" s="120"/>
      <c r="T136" s="110"/>
    </row>
    <row r="137" spans="1:20" s="65" customFormat="1" outlineLevel="1">
      <c r="A137" s="140" t="s">
        <v>301</v>
      </c>
      <c r="B137" s="140"/>
      <c r="C137" s="110"/>
      <c r="D137" s="110"/>
      <c r="E137" s="110"/>
      <c r="F137" s="110"/>
      <c r="G137" s="110"/>
      <c r="H137" s="110"/>
      <c r="I137" s="110"/>
      <c r="J137" s="142"/>
      <c r="K137" s="142"/>
      <c r="L137" s="142"/>
      <c r="M137" s="142"/>
      <c r="N137" s="142"/>
      <c r="O137" s="142"/>
      <c r="P137" s="142"/>
      <c r="Q137" s="137"/>
      <c r="R137" s="120"/>
      <c r="S137" s="120"/>
      <c r="T137" s="110"/>
    </row>
    <row r="138" spans="1:20" s="65" customFormat="1" outlineLevel="1">
      <c r="A138" s="140"/>
      <c r="B138" s="140" t="s">
        <v>301</v>
      </c>
      <c r="C138" s="110"/>
      <c r="D138" s="110"/>
      <c r="E138" s="110"/>
      <c r="F138" s="110"/>
      <c r="G138" s="110"/>
      <c r="H138" s="110"/>
      <c r="I138" s="110"/>
      <c r="J138" s="142"/>
      <c r="K138" s="142"/>
      <c r="L138" s="142"/>
      <c r="M138" s="142"/>
      <c r="N138" s="142"/>
      <c r="O138" s="142"/>
      <c r="P138" s="142"/>
      <c r="Q138" s="137"/>
      <c r="R138" s="120"/>
      <c r="S138" s="120"/>
      <c r="T138" s="110"/>
    </row>
    <row r="139" spans="1:20" outlineLevel="1">
      <c r="A139" s="105"/>
      <c r="B139" s="106" t="s">
        <v>375</v>
      </c>
      <c r="C139" s="105"/>
      <c r="D139" s="107">
        <v>56010</v>
      </c>
      <c r="E139" s="107" t="s">
        <v>360</v>
      </c>
      <c r="F139" s="108"/>
      <c r="G139" s="109"/>
      <c r="H139" s="110"/>
      <c r="I139" s="111"/>
      <c r="J139" s="112">
        <v>8245.2099999999991</v>
      </c>
      <c r="K139" s="111"/>
      <c r="L139" s="112">
        <v>8245.2099999999991</v>
      </c>
      <c r="M139" s="111"/>
      <c r="N139" s="112">
        <v>8767.7099999999991</v>
      </c>
      <c r="O139" s="111"/>
      <c r="P139" s="112">
        <v>25258.13</v>
      </c>
      <c r="Q139" s="113">
        <f t="shared" ref="Q139:Q143" si="9">IF(P$56=0,0,P139/P$56)</f>
        <v>3.5339118072901125E-2</v>
      </c>
      <c r="R139" s="114"/>
      <c r="S139" s="115"/>
      <c r="T139" s="105"/>
    </row>
    <row r="140" spans="1:20" outlineLevel="1">
      <c r="A140" s="105"/>
      <c r="B140" s="106" t="s">
        <v>308</v>
      </c>
      <c r="C140" s="105"/>
      <c r="D140" s="107">
        <v>56050</v>
      </c>
      <c r="E140" s="107" t="s">
        <v>348</v>
      </c>
      <c r="F140" s="108"/>
      <c r="G140" s="109"/>
      <c r="H140" s="110"/>
      <c r="I140" s="111"/>
      <c r="J140" s="112">
        <v>508.96</v>
      </c>
      <c r="K140" s="111"/>
      <c r="L140" s="112">
        <v>735.83</v>
      </c>
      <c r="M140" s="111"/>
      <c r="N140" s="112">
        <v>718.99</v>
      </c>
      <c r="O140" s="111"/>
      <c r="P140" s="112">
        <v>1963.78</v>
      </c>
      <c r="Q140" s="113">
        <f t="shared" si="9"/>
        <v>2.747561014580326E-3</v>
      </c>
      <c r="R140" s="114"/>
      <c r="S140" s="115"/>
      <c r="T140" s="105"/>
    </row>
    <row r="141" spans="1:20" outlineLevel="1">
      <c r="A141" s="105"/>
      <c r="B141" s="106" t="s">
        <v>308</v>
      </c>
      <c r="C141" s="105"/>
      <c r="D141" s="107">
        <v>56060</v>
      </c>
      <c r="E141" s="107" t="s">
        <v>349</v>
      </c>
      <c r="F141" s="108"/>
      <c r="G141" s="109"/>
      <c r="H141" s="110"/>
      <c r="I141" s="111"/>
      <c r="J141" s="112">
        <v>705.54</v>
      </c>
      <c r="K141" s="111"/>
      <c r="L141" s="112">
        <v>1257.33</v>
      </c>
      <c r="M141" s="111"/>
      <c r="N141" s="112">
        <v>1257.33</v>
      </c>
      <c r="O141" s="111"/>
      <c r="P141" s="112">
        <v>3220.2</v>
      </c>
      <c r="Q141" s="113">
        <f t="shared" si="9"/>
        <v>4.50544153578892E-3</v>
      </c>
      <c r="R141" s="114"/>
      <c r="S141" s="115"/>
      <c r="T141" s="105"/>
    </row>
    <row r="142" spans="1:20" outlineLevel="1">
      <c r="A142" s="105"/>
      <c r="B142" s="106" t="s">
        <v>308</v>
      </c>
      <c r="C142" s="105"/>
      <c r="D142" s="107">
        <v>56065</v>
      </c>
      <c r="E142" s="107" t="s">
        <v>350</v>
      </c>
      <c r="F142" s="108"/>
      <c r="G142" s="109"/>
      <c r="H142" s="110"/>
      <c r="I142" s="111"/>
      <c r="J142" s="112">
        <v>238.86</v>
      </c>
      <c r="K142" s="111"/>
      <c r="L142" s="112">
        <v>223.45</v>
      </c>
      <c r="M142" s="111"/>
      <c r="N142" s="112">
        <v>238.86</v>
      </c>
      <c r="O142" s="111"/>
      <c r="P142" s="112">
        <v>701.17</v>
      </c>
      <c r="Q142" s="113">
        <f t="shared" si="9"/>
        <v>9.8101994958360258E-4</v>
      </c>
      <c r="R142" s="114"/>
      <c r="S142" s="115"/>
      <c r="T142" s="105"/>
    </row>
    <row r="143" spans="1:20" outlineLevel="1">
      <c r="A143" s="105"/>
      <c r="B143" s="106" t="s">
        <v>308</v>
      </c>
      <c r="C143" s="105"/>
      <c r="D143" s="107">
        <v>56115</v>
      </c>
      <c r="E143" s="107" t="s">
        <v>354</v>
      </c>
      <c r="F143" s="108"/>
      <c r="G143" s="109"/>
      <c r="H143" s="110"/>
      <c r="I143" s="111"/>
      <c r="J143" s="112">
        <v>156.76</v>
      </c>
      <c r="K143" s="111"/>
      <c r="L143" s="112">
        <v>156.76</v>
      </c>
      <c r="M143" s="111"/>
      <c r="N143" s="112">
        <v>156.76</v>
      </c>
      <c r="O143" s="111"/>
      <c r="P143" s="112">
        <v>470.28</v>
      </c>
      <c r="Q143" s="113">
        <f t="shared" si="9"/>
        <v>6.5797746893075373E-4</v>
      </c>
      <c r="R143" s="114"/>
      <c r="S143" s="115"/>
      <c r="T143" s="105"/>
    </row>
    <row r="144" spans="1:20" s="65" customFormat="1" ht="5.0999999999999996" customHeight="1" outlineLevel="1">
      <c r="A144" s="140" t="s">
        <v>301</v>
      </c>
      <c r="B144" s="140" t="s">
        <v>301</v>
      </c>
      <c r="C144" s="110"/>
      <c r="D144" s="108"/>
      <c r="E144" s="108"/>
      <c r="F144" s="108"/>
      <c r="G144" s="108"/>
      <c r="H144" s="110"/>
      <c r="I144" s="110"/>
      <c r="J144" s="143"/>
      <c r="K144" s="142"/>
      <c r="L144" s="143"/>
      <c r="M144" s="142"/>
      <c r="N144" s="143"/>
      <c r="O144" s="142"/>
      <c r="P144" s="143"/>
      <c r="Q144" s="137"/>
      <c r="R144" s="120"/>
      <c r="S144" s="120"/>
      <c r="T144" s="110"/>
    </row>
    <row r="145" spans="1:20" s="65" customFormat="1">
      <c r="A145" s="140" t="s">
        <v>375</v>
      </c>
      <c r="B145" s="140" t="s">
        <v>301</v>
      </c>
      <c r="C145" s="110"/>
      <c r="D145" s="110"/>
      <c r="E145" s="110"/>
      <c r="F145" s="108" t="s">
        <v>376</v>
      </c>
      <c r="G145" s="110"/>
      <c r="H145" s="110"/>
      <c r="I145" s="110"/>
      <c r="J145" s="141">
        <f>SUM(J138:J144)</f>
        <v>9855.33</v>
      </c>
      <c r="K145" s="142"/>
      <c r="L145" s="141">
        <f>SUM(L138:L144)</f>
        <v>10618.58</v>
      </c>
      <c r="M145" s="142"/>
      <c r="N145" s="141">
        <f>SUM(N138:N144)</f>
        <v>11139.65</v>
      </c>
      <c r="O145" s="142"/>
      <c r="P145" s="141">
        <f>SUM(P138:P144)</f>
        <v>31613.559999999998</v>
      </c>
      <c r="Q145" s="113">
        <f>IF(P$56=0,0,P145/P$56)</f>
        <v>4.4231118041784721E-2</v>
      </c>
      <c r="R145" s="120"/>
      <c r="S145" s="120"/>
      <c r="T145" s="110"/>
    </row>
    <row r="146" spans="1:20" s="65" customFormat="1" outlineLevel="1">
      <c r="A146" s="140" t="s">
        <v>301</v>
      </c>
      <c r="B146" s="140"/>
      <c r="C146" s="110"/>
      <c r="D146" s="110"/>
      <c r="E146" s="110"/>
      <c r="F146" s="110"/>
      <c r="G146" s="110"/>
      <c r="H146" s="110"/>
      <c r="I146" s="110"/>
      <c r="J146" s="142"/>
      <c r="K146" s="142"/>
      <c r="L146" s="142"/>
      <c r="M146" s="142"/>
      <c r="N146" s="142"/>
      <c r="O146" s="142"/>
      <c r="P146" s="142"/>
      <c r="Q146" s="137"/>
      <c r="R146" s="120"/>
      <c r="S146" s="120"/>
      <c r="T146" s="110"/>
    </row>
    <row r="147" spans="1:20" s="65" customFormat="1" outlineLevel="1">
      <c r="A147" s="140" t="s">
        <v>301</v>
      </c>
      <c r="B147" s="140" t="s">
        <v>301</v>
      </c>
      <c r="C147" s="110"/>
      <c r="D147" s="110"/>
      <c r="E147" s="110"/>
      <c r="F147" s="110"/>
      <c r="G147" s="110"/>
      <c r="H147" s="110"/>
      <c r="I147" s="110"/>
      <c r="J147" s="142"/>
      <c r="K147" s="142"/>
      <c r="L147" s="142"/>
      <c r="M147" s="142"/>
      <c r="N147" s="142"/>
      <c r="O147" s="142"/>
      <c r="P147" s="142"/>
      <c r="Q147" s="137"/>
      <c r="R147" s="120"/>
      <c r="S147" s="120"/>
      <c r="T147" s="110"/>
    </row>
    <row r="148" spans="1:20" outlineLevel="1">
      <c r="A148" s="105"/>
      <c r="B148" s="106" t="s">
        <v>377</v>
      </c>
      <c r="C148" s="105"/>
      <c r="D148" s="107">
        <v>57135</v>
      </c>
      <c r="E148" s="107" t="s">
        <v>556</v>
      </c>
      <c r="F148" s="108"/>
      <c r="G148" s="109"/>
      <c r="H148" s="110"/>
      <c r="I148" s="111"/>
      <c r="J148" s="112">
        <v>913.07</v>
      </c>
      <c r="K148" s="111"/>
      <c r="L148" s="112">
        <v>0</v>
      </c>
      <c r="M148" s="111"/>
      <c r="N148" s="112">
        <v>0</v>
      </c>
      <c r="O148" s="111"/>
      <c r="P148" s="112">
        <v>913.07</v>
      </c>
      <c r="Q148" s="113">
        <f t="shared" ref="Q148:Q157" si="10">IF(P$56=0,0,P148/P$56)</f>
        <v>1.2774931690835319E-3</v>
      </c>
      <c r="R148" s="114"/>
      <c r="S148" s="115"/>
      <c r="T148" s="105"/>
    </row>
    <row r="149" spans="1:20" outlineLevel="1">
      <c r="A149" s="105"/>
      <c r="B149" s="106" t="s">
        <v>308</v>
      </c>
      <c r="C149" s="105"/>
      <c r="D149" s="107">
        <v>57147</v>
      </c>
      <c r="E149" s="107" t="s">
        <v>378</v>
      </c>
      <c r="F149" s="108"/>
      <c r="G149" s="109"/>
      <c r="H149" s="110"/>
      <c r="I149" s="111"/>
      <c r="J149" s="112">
        <v>0</v>
      </c>
      <c r="K149" s="111"/>
      <c r="L149" s="112">
        <v>1691.71</v>
      </c>
      <c r="M149" s="111"/>
      <c r="N149" s="112">
        <v>653.16</v>
      </c>
      <c r="O149" s="111"/>
      <c r="P149" s="112">
        <v>2344.87</v>
      </c>
      <c r="Q149" s="113">
        <f t="shared" si="10"/>
        <v>3.2807511005606372E-3</v>
      </c>
      <c r="R149" s="114"/>
      <c r="S149" s="115"/>
      <c r="T149" s="105"/>
    </row>
    <row r="150" spans="1:20" outlineLevel="1">
      <c r="A150" s="105"/>
      <c r="B150" s="106" t="s">
        <v>308</v>
      </c>
      <c r="C150" s="105"/>
      <c r="D150" s="107">
        <v>57170</v>
      </c>
      <c r="E150" s="107" t="s">
        <v>379</v>
      </c>
      <c r="F150" s="108"/>
      <c r="G150" s="109"/>
      <c r="H150" s="110"/>
      <c r="I150" s="111"/>
      <c r="J150" s="112">
        <v>475</v>
      </c>
      <c r="K150" s="111"/>
      <c r="L150" s="112">
        <v>475</v>
      </c>
      <c r="M150" s="111"/>
      <c r="N150" s="112">
        <v>475</v>
      </c>
      <c r="O150" s="111"/>
      <c r="P150" s="112">
        <v>1425</v>
      </c>
      <c r="Q150" s="113">
        <f t="shared" si="10"/>
        <v>1.9937439253770606E-3</v>
      </c>
      <c r="R150" s="114"/>
      <c r="S150" s="115"/>
      <c r="T150" s="105"/>
    </row>
    <row r="151" spans="1:20" outlineLevel="1">
      <c r="A151" s="105"/>
      <c r="B151" s="106" t="s">
        <v>308</v>
      </c>
      <c r="C151" s="105"/>
      <c r="D151" s="107">
        <v>57254</v>
      </c>
      <c r="E151" s="107" t="s">
        <v>539</v>
      </c>
      <c r="F151" s="108"/>
      <c r="G151" s="109"/>
      <c r="H151" s="110"/>
      <c r="I151" s="111"/>
      <c r="J151" s="112">
        <v>1212.95</v>
      </c>
      <c r="K151" s="111"/>
      <c r="L151" s="112">
        <v>1044.6500000000001</v>
      </c>
      <c r="M151" s="111"/>
      <c r="N151" s="112">
        <v>904.57</v>
      </c>
      <c r="O151" s="111"/>
      <c r="P151" s="112">
        <v>3162.17</v>
      </c>
      <c r="Q151" s="113">
        <f t="shared" si="10"/>
        <v>4.4242506866733903E-3</v>
      </c>
      <c r="R151" s="114"/>
      <c r="S151" s="115"/>
      <c r="T151" s="105"/>
    </row>
    <row r="152" spans="1:20" outlineLevel="1">
      <c r="A152" s="105"/>
      <c r="B152" s="106" t="s">
        <v>308</v>
      </c>
      <c r="C152" s="105"/>
      <c r="D152" s="107">
        <v>57255</v>
      </c>
      <c r="E152" s="107" t="s">
        <v>380</v>
      </c>
      <c r="F152" s="108"/>
      <c r="G152" s="109"/>
      <c r="H152" s="110"/>
      <c r="I152" s="111"/>
      <c r="J152" s="112">
        <v>110.89</v>
      </c>
      <c r="K152" s="111"/>
      <c r="L152" s="112">
        <v>5365.49</v>
      </c>
      <c r="M152" s="111"/>
      <c r="N152" s="112">
        <v>1436.95</v>
      </c>
      <c r="O152" s="111"/>
      <c r="P152" s="112">
        <v>6913.33</v>
      </c>
      <c r="Q152" s="113">
        <f t="shared" si="10"/>
        <v>9.6725682046505234E-3</v>
      </c>
      <c r="R152" s="114"/>
      <c r="S152" s="115"/>
      <c r="T152" s="105"/>
    </row>
    <row r="153" spans="1:20" outlineLevel="1">
      <c r="A153" s="105"/>
      <c r="B153" s="106" t="s">
        <v>308</v>
      </c>
      <c r="C153" s="105"/>
      <c r="D153" s="107">
        <v>57275</v>
      </c>
      <c r="E153" s="107" t="s">
        <v>381</v>
      </c>
      <c r="F153" s="108"/>
      <c r="G153" s="109"/>
      <c r="H153" s="110"/>
      <c r="I153" s="111"/>
      <c r="J153" s="112">
        <v>250</v>
      </c>
      <c r="K153" s="111"/>
      <c r="L153" s="112">
        <v>250</v>
      </c>
      <c r="M153" s="111"/>
      <c r="N153" s="112">
        <v>945.63</v>
      </c>
      <c r="O153" s="111"/>
      <c r="P153" s="112">
        <v>1445.63</v>
      </c>
      <c r="Q153" s="113">
        <f t="shared" si="10"/>
        <v>2.0226077409423444E-3</v>
      </c>
      <c r="R153" s="114"/>
      <c r="S153" s="115"/>
      <c r="T153" s="105"/>
    </row>
    <row r="154" spans="1:20" outlineLevel="1">
      <c r="A154" s="105"/>
      <c r="B154" s="106" t="s">
        <v>308</v>
      </c>
      <c r="C154" s="105"/>
      <c r="D154" s="107">
        <v>57280</v>
      </c>
      <c r="E154" s="107" t="s">
        <v>382</v>
      </c>
      <c r="F154" s="108"/>
      <c r="G154" s="109"/>
      <c r="H154" s="110"/>
      <c r="I154" s="111"/>
      <c r="J154" s="112">
        <v>0</v>
      </c>
      <c r="K154" s="111"/>
      <c r="L154" s="112">
        <v>0</v>
      </c>
      <c r="M154" s="111"/>
      <c r="N154" s="112">
        <v>0</v>
      </c>
      <c r="O154" s="111"/>
      <c r="P154" s="112">
        <v>0</v>
      </c>
      <c r="Q154" s="113">
        <f t="shared" si="10"/>
        <v>0</v>
      </c>
      <c r="R154" s="114"/>
      <c r="S154" s="115"/>
      <c r="T154" s="105"/>
    </row>
    <row r="155" spans="1:20" outlineLevel="1">
      <c r="A155" s="105"/>
      <c r="B155" s="106" t="s">
        <v>308</v>
      </c>
      <c r="C155" s="105"/>
      <c r="D155" s="107">
        <v>57353</v>
      </c>
      <c r="E155" s="107" t="s">
        <v>541</v>
      </c>
      <c r="F155" s="108"/>
      <c r="G155" s="109"/>
      <c r="H155" s="110"/>
      <c r="I155" s="111"/>
      <c r="J155" s="112">
        <v>1200</v>
      </c>
      <c r="K155" s="111"/>
      <c r="L155" s="112">
        <v>0</v>
      </c>
      <c r="M155" s="111"/>
      <c r="N155" s="112">
        <v>-1200</v>
      </c>
      <c r="O155" s="111"/>
      <c r="P155" s="112">
        <v>0</v>
      </c>
      <c r="Q155" s="113">
        <f t="shared" si="10"/>
        <v>0</v>
      </c>
      <c r="R155" s="114"/>
      <c r="S155" s="115"/>
      <c r="T155" s="105"/>
    </row>
    <row r="156" spans="1:20" outlineLevel="1">
      <c r="A156" s="105"/>
      <c r="B156" s="106" t="s">
        <v>308</v>
      </c>
      <c r="C156" s="105"/>
      <c r="D156" s="107">
        <v>57357</v>
      </c>
      <c r="E156" s="107" t="s">
        <v>383</v>
      </c>
      <c r="F156" s="108"/>
      <c r="G156" s="109"/>
      <c r="H156" s="110"/>
      <c r="I156" s="111"/>
      <c r="J156" s="112">
        <v>1347.5</v>
      </c>
      <c r="K156" s="111"/>
      <c r="L156" s="112">
        <v>192.5</v>
      </c>
      <c r="M156" s="111"/>
      <c r="N156" s="112">
        <v>192.5</v>
      </c>
      <c r="O156" s="111"/>
      <c r="P156" s="112">
        <v>1732.5</v>
      </c>
      <c r="Q156" s="113">
        <f t="shared" si="10"/>
        <v>2.4239728776952688E-3</v>
      </c>
      <c r="R156" s="114"/>
      <c r="S156" s="115"/>
      <c r="T156" s="105"/>
    </row>
    <row r="157" spans="1:20" outlineLevel="1">
      <c r="A157" s="105"/>
      <c r="B157" s="106" t="s">
        <v>308</v>
      </c>
      <c r="C157" s="105"/>
      <c r="D157" s="107">
        <v>57370</v>
      </c>
      <c r="E157" s="107" t="s">
        <v>384</v>
      </c>
      <c r="F157" s="108"/>
      <c r="G157" s="109"/>
      <c r="H157" s="110"/>
      <c r="I157" s="111"/>
      <c r="J157" s="112">
        <v>16.07</v>
      </c>
      <c r="K157" s="111"/>
      <c r="L157" s="112">
        <v>16.07</v>
      </c>
      <c r="M157" s="111"/>
      <c r="N157" s="112">
        <v>16.07</v>
      </c>
      <c r="O157" s="111"/>
      <c r="P157" s="112">
        <v>48.21</v>
      </c>
      <c r="Q157" s="113">
        <f t="shared" si="10"/>
        <v>6.7451505012230251E-5</v>
      </c>
      <c r="R157" s="114"/>
      <c r="S157" s="115"/>
      <c r="T157" s="105"/>
    </row>
    <row r="158" spans="1:20" s="65" customFormat="1" ht="5.0999999999999996" customHeight="1" outlineLevel="1">
      <c r="A158" s="140" t="s">
        <v>301</v>
      </c>
      <c r="B158" s="138" t="s">
        <v>301</v>
      </c>
      <c r="C158" s="110"/>
      <c r="D158" s="108"/>
      <c r="E158" s="108"/>
      <c r="F158" s="108"/>
      <c r="G158" s="108"/>
      <c r="H158" s="110"/>
      <c r="I158" s="110"/>
      <c r="J158" s="143"/>
      <c r="K158" s="142"/>
      <c r="L158" s="143"/>
      <c r="M158" s="142"/>
      <c r="N158" s="143"/>
      <c r="O158" s="142"/>
      <c r="P158" s="143"/>
      <c r="Q158" s="137"/>
      <c r="R158" s="120"/>
      <c r="S158" s="120"/>
      <c r="T158" s="110"/>
    </row>
    <row r="159" spans="1:20" s="65" customFormat="1">
      <c r="A159" s="140" t="s">
        <v>377</v>
      </c>
      <c r="B159" s="138" t="s">
        <v>301</v>
      </c>
      <c r="C159" s="110"/>
      <c r="D159" s="110"/>
      <c r="E159" s="110"/>
      <c r="F159" s="108" t="s">
        <v>385</v>
      </c>
      <c r="G159" s="110"/>
      <c r="H159" s="110"/>
      <c r="I159" s="110"/>
      <c r="J159" s="141">
        <f>SUM(J147:J158)</f>
        <v>5525.48</v>
      </c>
      <c r="K159" s="142"/>
      <c r="L159" s="141">
        <f>SUM(L147:L158)</f>
        <v>9035.42</v>
      </c>
      <c r="M159" s="142"/>
      <c r="N159" s="141">
        <f>SUM(N147:N158)</f>
        <v>3423.8800000000006</v>
      </c>
      <c r="O159" s="142"/>
      <c r="P159" s="141">
        <f>SUM(P147:P158)</f>
        <v>17984.78</v>
      </c>
      <c r="Q159" s="113">
        <f>IF(P$56=0,0,P159/P$56)</f>
        <v>2.5162839209994986E-2</v>
      </c>
      <c r="R159" s="120"/>
      <c r="S159" s="120"/>
      <c r="T159" s="110"/>
    </row>
    <row r="160" spans="1:20" s="65" customFormat="1" outlineLevel="1">
      <c r="A160" s="138" t="s">
        <v>301</v>
      </c>
      <c r="B160" s="138"/>
      <c r="C160" s="110"/>
      <c r="D160" s="110"/>
      <c r="E160" s="110"/>
      <c r="F160" s="110"/>
      <c r="G160" s="110"/>
      <c r="H160" s="110"/>
      <c r="I160" s="110"/>
      <c r="J160" s="142"/>
      <c r="K160" s="142"/>
      <c r="L160" s="142"/>
      <c r="M160" s="142"/>
      <c r="N160" s="142"/>
      <c r="O160" s="142"/>
      <c r="P160" s="142"/>
      <c r="Q160" s="137"/>
      <c r="R160" s="120"/>
      <c r="S160" s="120"/>
      <c r="T160" s="110"/>
    </row>
    <row r="161" spans="1:20" s="65" customFormat="1" outlineLevel="1">
      <c r="A161" s="138" t="s">
        <v>301</v>
      </c>
      <c r="B161" s="138"/>
      <c r="C161" s="110"/>
      <c r="D161" s="151"/>
      <c r="E161" s="151"/>
      <c r="F161" s="151"/>
      <c r="G161" s="151"/>
      <c r="H161" s="151"/>
      <c r="I161" s="151"/>
      <c r="J161" s="152"/>
      <c r="K161" s="152"/>
      <c r="L161" s="152"/>
      <c r="M161" s="152"/>
      <c r="N161" s="152"/>
      <c r="O161" s="152"/>
      <c r="P161" s="152"/>
      <c r="Q161" s="153"/>
      <c r="R161" s="151"/>
      <c r="S161" s="120"/>
      <c r="T161" s="110"/>
    </row>
    <row r="162" spans="1:20" s="65" customFormat="1" ht="4.5" customHeight="1" outlineLevel="1">
      <c r="A162" s="138"/>
      <c r="B162" s="138"/>
      <c r="C162" s="110"/>
      <c r="D162" s="144"/>
      <c r="E162" s="110"/>
      <c r="F162" s="110"/>
      <c r="G162" s="110"/>
      <c r="H162" s="110"/>
      <c r="I162" s="110"/>
      <c r="J162" s="143"/>
      <c r="K162" s="142"/>
      <c r="L162" s="143"/>
      <c r="M162" s="142"/>
      <c r="N162" s="143"/>
      <c r="O162" s="142"/>
      <c r="P162" s="143"/>
      <c r="Q162" s="137"/>
      <c r="R162" s="120"/>
      <c r="S162" s="120"/>
      <c r="T162" s="110"/>
    </row>
    <row r="163" spans="1:20" s="65" customFormat="1">
      <c r="A163" s="138"/>
      <c r="B163" s="138"/>
      <c r="C163" s="110"/>
      <c r="D163" s="110"/>
      <c r="E163" s="110"/>
      <c r="F163" s="110" t="s">
        <v>386</v>
      </c>
      <c r="G163" s="110"/>
      <c r="H163" s="110"/>
      <c r="I163" s="110"/>
      <c r="J163" s="141">
        <f>SUM(J161:J162)</f>
        <v>0</v>
      </c>
      <c r="K163" s="142"/>
      <c r="L163" s="141">
        <f>SUM(L161:L162)</f>
        <v>0</v>
      </c>
      <c r="M163" s="142"/>
      <c r="N163" s="141">
        <f>SUM(N161:N162)</f>
        <v>0</v>
      </c>
      <c r="O163" s="142"/>
      <c r="P163" s="141">
        <f>SUM(P161:P162)</f>
        <v>0</v>
      </c>
      <c r="Q163" s="113">
        <f>IF(P$56=0,0,P163/P$56)</f>
        <v>0</v>
      </c>
      <c r="R163" s="120"/>
      <c r="S163" s="120"/>
      <c r="T163" s="110"/>
    </row>
    <row r="164" spans="1:20" s="65" customFormat="1" outlineLevel="1">
      <c r="A164" s="138"/>
      <c r="B164" s="138"/>
      <c r="C164" s="110"/>
      <c r="D164" s="110"/>
      <c r="E164" s="110"/>
      <c r="F164" s="110"/>
      <c r="G164" s="110"/>
      <c r="H164" s="110"/>
      <c r="I164" s="110"/>
      <c r="J164" s="142"/>
      <c r="K164" s="142"/>
      <c r="L164" s="142"/>
      <c r="M164" s="142"/>
      <c r="N164" s="142"/>
      <c r="O164" s="142"/>
      <c r="P164" s="142"/>
      <c r="Q164" s="137"/>
      <c r="R164" s="120"/>
      <c r="S164" s="120"/>
      <c r="T164" s="110"/>
    </row>
    <row r="165" spans="1:20" s="65" customFormat="1" outlineLevel="1">
      <c r="A165" s="138"/>
      <c r="B165" s="138"/>
      <c r="C165" s="110"/>
      <c r="D165" s="110"/>
      <c r="E165" s="110"/>
      <c r="F165" s="110"/>
      <c r="G165" s="110"/>
      <c r="H165" s="110"/>
      <c r="I165" s="110"/>
      <c r="J165" s="142"/>
      <c r="K165" s="142"/>
      <c r="L165" s="142"/>
      <c r="M165" s="142"/>
      <c r="N165" s="142"/>
      <c r="O165" s="142"/>
      <c r="P165" s="142"/>
      <c r="Q165" s="137"/>
      <c r="R165" s="120"/>
      <c r="S165" s="120"/>
      <c r="T165" s="110"/>
    </row>
    <row r="166" spans="1:20" outlineLevel="1">
      <c r="A166" s="105"/>
      <c r="B166" s="106" t="s">
        <v>387</v>
      </c>
      <c r="C166" s="105"/>
      <c r="D166" s="107">
        <v>59340</v>
      </c>
      <c r="E166" s="107" t="s">
        <v>388</v>
      </c>
      <c r="F166" s="108"/>
      <c r="G166" s="109"/>
      <c r="H166" s="110"/>
      <c r="I166" s="111"/>
      <c r="J166" s="112">
        <v>1575.08</v>
      </c>
      <c r="K166" s="111"/>
      <c r="L166" s="112">
        <v>1575.08</v>
      </c>
      <c r="M166" s="111"/>
      <c r="N166" s="112">
        <v>1575.08</v>
      </c>
      <c r="O166" s="111"/>
      <c r="P166" s="112">
        <v>4725.24</v>
      </c>
      <c r="Q166" s="113">
        <f t="shared" ref="Q166:Q168" si="11">IF(P$56=0,0,P166/P$56)</f>
        <v>6.6111709094376862E-3</v>
      </c>
      <c r="R166" s="114"/>
      <c r="S166" s="115"/>
      <c r="T166" s="105"/>
    </row>
    <row r="167" spans="1:20" outlineLevel="1">
      <c r="A167" s="105"/>
      <c r="B167" s="106" t="s">
        <v>308</v>
      </c>
      <c r="C167" s="105"/>
      <c r="D167" s="107">
        <v>59344</v>
      </c>
      <c r="E167" s="107" t="s">
        <v>390</v>
      </c>
      <c r="F167" s="108"/>
      <c r="G167" s="109"/>
      <c r="H167" s="110"/>
      <c r="I167" s="111"/>
      <c r="J167" s="112">
        <v>37.49</v>
      </c>
      <c r="K167" s="111"/>
      <c r="L167" s="112">
        <v>616.37</v>
      </c>
      <c r="M167" s="111"/>
      <c r="N167" s="112">
        <v>0</v>
      </c>
      <c r="O167" s="111"/>
      <c r="P167" s="112">
        <v>653.86</v>
      </c>
      <c r="Q167" s="113">
        <f t="shared" si="11"/>
        <v>9.1482765126108423E-4</v>
      </c>
      <c r="R167" s="114"/>
      <c r="S167" s="115"/>
      <c r="T167" s="105"/>
    </row>
    <row r="168" spans="1:20" outlineLevel="1">
      <c r="A168" s="105"/>
      <c r="B168" s="106" t="s">
        <v>308</v>
      </c>
      <c r="C168" s="105"/>
      <c r="D168" s="107">
        <v>59500</v>
      </c>
      <c r="E168" s="107" t="s">
        <v>391</v>
      </c>
      <c r="F168" s="108"/>
      <c r="G168" s="109"/>
      <c r="H168" s="110"/>
      <c r="I168" s="111"/>
      <c r="J168" s="112">
        <v>100</v>
      </c>
      <c r="K168" s="111"/>
      <c r="L168" s="112">
        <v>200</v>
      </c>
      <c r="M168" s="111"/>
      <c r="N168" s="112">
        <v>150</v>
      </c>
      <c r="O168" s="111"/>
      <c r="P168" s="112">
        <v>450</v>
      </c>
      <c r="Q168" s="113">
        <f t="shared" si="11"/>
        <v>6.2960334485591396E-4</v>
      </c>
      <c r="R168" s="114"/>
      <c r="S168" s="115"/>
      <c r="T168" s="105"/>
    </row>
    <row r="169" spans="1:20" s="65" customFormat="1" ht="5.0999999999999996" customHeight="1" outlineLevel="1">
      <c r="A169" s="138"/>
      <c r="B169" s="138" t="s">
        <v>301</v>
      </c>
      <c r="C169" s="110"/>
      <c r="D169" s="108"/>
      <c r="E169" s="108"/>
      <c r="F169" s="108"/>
      <c r="G169" s="108"/>
      <c r="H169" s="110"/>
      <c r="I169" s="110"/>
      <c r="J169" s="143"/>
      <c r="K169" s="142"/>
      <c r="L169" s="143"/>
      <c r="M169" s="142"/>
      <c r="N169" s="143"/>
      <c r="O169" s="142"/>
      <c r="P169" s="143"/>
      <c r="Q169" s="137"/>
      <c r="R169" s="120"/>
      <c r="S169" s="120"/>
      <c r="T169" s="110"/>
    </row>
    <row r="170" spans="1:20" s="65" customFormat="1">
      <c r="A170" s="140" t="s">
        <v>387</v>
      </c>
      <c r="B170" s="147"/>
      <c r="C170" s="110"/>
      <c r="D170" s="110"/>
      <c r="E170" s="110"/>
      <c r="F170" s="108" t="s">
        <v>392</v>
      </c>
      <c r="G170" s="110"/>
      <c r="H170" s="110"/>
      <c r="I170" s="110"/>
      <c r="J170" s="141">
        <f>SUM(J165:J169)</f>
        <v>1712.57</v>
      </c>
      <c r="K170" s="142"/>
      <c r="L170" s="141">
        <f>SUM(L165:L169)</f>
        <v>2391.4499999999998</v>
      </c>
      <c r="M170" s="142"/>
      <c r="N170" s="141">
        <f>SUM(N165:N169)</f>
        <v>1725.08</v>
      </c>
      <c r="O170" s="142"/>
      <c r="P170" s="141">
        <f>SUM(P165:P169)</f>
        <v>5829.0999999999995</v>
      </c>
      <c r="Q170" s="113">
        <f>IF(P$56=0,0,P170/P$56)</f>
        <v>8.1556019055546835E-3</v>
      </c>
      <c r="R170" s="120"/>
      <c r="S170" s="120"/>
      <c r="T170" s="110"/>
    </row>
    <row r="171" spans="1:20" s="65" customFormat="1" outlineLevel="1">
      <c r="A171" s="138" t="s">
        <v>301</v>
      </c>
      <c r="B171" s="138" t="s">
        <v>301</v>
      </c>
      <c r="C171" s="110"/>
      <c r="D171" s="110"/>
      <c r="E171" s="110"/>
      <c r="F171" s="110"/>
      <c r="G171" s="110"/>
      <c r="H171" s="110"/>
      <c r="I171" s="110"/>
      <c r="J171" s="142"/>
      <c r="K171" s="142"/>
      <c r="L171" s="142"/>
      <c r="M171" s="142"/>
      <c r="N171" s="142"/>
      <c r="O171" s="142"/>
      <c r="P171" s="142"/>
      <c r="Q171" s="137"/>
      <c r="R171" s="120"/>
      <c r="S171" s="120"/>
      <c r="T171" s="110"/>
    </row>
    <row r="172" spans="1:20" outlineLevel="1">
      <c r="A172" s="105"/>
      <c r="B172" s="106" t="s">
        <v>393</v>
      </c>
      <c r="C172" s="105"/>
      <c r="D172" s="107">
        <v>91010</v>
      </c>
      <c r="E172" s="107" t="s">
        <v>542</v>
      </c>
      <c r="F172" s="108"/>
      <c r="G172" s="109"/>
      <c r="H172" s="110"/>
      <c r="I172" s="111"/>
      <c r="J172" s="112">
        <v>0</v>
      </c>
      <c r="K172" s="111"/>
      <c r="L172" s="112">
        <v>0</v>
      </c>
      <c r="M172" s="111"/>
      <c r="N172" s="112">
        <v>0</v>
      </c>
      <c r="O172" s="111"/>
      <c r="P172" s="112">
        <v>0</v>
      </c>
      <c r="Q172" s="113">
        <f>IF(P$56=0,0,P172/P$56)</f>
        <v>0</v>
      </c>
      <c r="R172" s="114"/>
      <c r="S172" s="115"/>
      <c r="T172" s="105"/>
    </row>
    <row r="173" spans="1:20" s="65" customFormat="1" ht="5.0999999999999996" customHeight="1" outlineLevel="1">
      <c r="A173" s="138" t="s">
        <v>301</v>
      </c>
      <c r="B173" s="140" t="s">
        <v>301</v>
      </c>
      <c r="C173" s="110"/>
      <c r="D173" s="108"/>
      <c r="E173" s="108"/>
      <c r="F173" s="108"/>
      <c r="G173" s="108"/>
      <c r="H173" s="110"/>
      <c r="I173" s="110"/>
      <c r="J173" s="143"/>
      <c r="K173" s="142"/>
      <c r="L173" s="143"/>
      <c r="M173" s="142"/>
      <c r="N173" s="143"/>
      <c r="O173" s="142"/>
      <c r="P173" s="143"/>
      <c r="Q173" s="137"/>
      <c r="R173" s="120"/>
      <c r="S173" s="120"/>
      <c r="T173" s="110"/>
    </row>
    <row r="174" spans="1:20" s="65" customFormat="1">
      <c r="A174" s="140" t="s">
        <v>393</v>
      </c>
      <c r="B174" s="140" t="s">
        <v>301</v>
      </c>
      <c r="C174" s="110"/>
      <c r="D174" s="110"/>
      <c r="E174" s="110"/>
      <c r="F174" s="107" t="s">
        <v>394</v>
      </c>
      <c r="G174" s="110"/>
      <c r="H174" s="110"/>
      <c r="I174" s="110"/>
      <c r="J174" s="141">
        <f>SUM(J172:J173)</f>
        <v>0</v>
      </c>
      <c r="K174" s="142"/>
      <c r="L174" s="141">
        <f>SUM(L172:L173)</f>
        <v>0</v>
      </c>
      <c r="M174" s="142"/>
      <c r="N174" s="141">
        <f>SUM(N172:N173)</f>
        <v>0</v>
      </c>
      <c r="O174" s="142"/>
      <c r="P174" s="141">
        <f>SUM(P172:P173)</f>
        <v>0</v>
      </c>
      <c r="Q174" s="113">
        <f>IF(P$56=0,0,P174/P$56)</f>
        <v>0</v>
      </c>
      <c r="R174" s="120"/>
      <c r="S174" s="120"/>
      <c r="T174" s="110"/>
    </row>
    <row r="175" spans="1:20" s="65" customFormat="1" ht="7.5" customHeight="1">
      <c r="A175" s="140" t="s">
        <v>301</v>
      </c>
      <c r="B175" s="140"/>
      <c r="C175" s="110"/>
      <c r="D175" s="110"/>
      <c r="E175" s="110"/>
      <c r="F175" s="110"/>
      <c r="G175" s="110"/>
      <c r="H175" s="110"/>
      <c r="I175" s="110"/>
      <c r="J175" s="142"/>
      <c r="K175" s="142"/>
      <c r="L175" s="142"/>
      <c r="M175" s="142"/>
      <c r="N175" s="142"/>
      <c r="O175" s="142"/>
      <c r="P175" s="142"/>
      <c r="Q175" s="137"/>
      <c r="R175" s="120"/>
      <c r="S175" s="120"/>
      <c r="T175" s="110"/>
    </row>
    <row r="176" spans="1:20" s="65" customFormat="1">
      <c r="A176" s="140" t="s">
        <v>301</v>
      </c>
      <c r="B176" s="140"/>
      <c r="C176" s="110"/>
      <c r="D176" s="110"/>
      <c r="E176" s="150" t="s">
        <v>395</v>
      </c>
      <c r="F176" s="110"/>
      <c r="G176" s="110"/>
      <c r="H176" s="110"/>
      <c r="I176" s="110"/>
      <c r="J176" s="146">
        <f>+J103+J107+J130+J136+J145+J159+J170+J163+J174</f>
        <v>114120.33000000002</v>
      </c>
      <c r="K176" s="142"/>
      <c r="L176" s="146">
        <f>+L103+L107+L130+L136+L145+L159+L170+L163+L174</f>
        <v>108158.93</v>
      </c>
      <c r="M176" s="142"/>
      <c r="N176" s="146">
        <f>+N103+N107+N130+N136+N145+N159+N170+N163+N174</f>
        <v>114052.98000000001</v>
      </c>
      <c r="O176" s="142"/>
      <c r="P176" s="146">
        <f>+P103+P107+P130+P136+P145+P159+P170+P163+P174</f>
        <v>336332.24</v>
      </c>
      <c r="Q176" s="113">
        <f>IF(P$56=0,0,P176/P$56)</f>
        <v>0.47056867397084889</v>
      </c>
      <c r="R176" s="120"/>
      <c r="S176" s="120"/>
      <c r="T176" s="110"/>
    </row>
    <row r="177" spans="1:20" s="65" customFormat="1" ht="7.5" customHeight="1">
      <c r="A177" s="140"/>
      <c r="B177" s="140"/>
      <c r="C177" s="110"/>
      <c r="D177" s="110"/>
      <c r="E177" s="110"/>
      <c r="F177" s="110"/>
      <c r="G177" s="110"/>
      <c r="H177" s="110"/>
      <c r="I177" s="110"/>
      <c r="J177" s="142"/>
      <c r="K177" s="142"/>
      <c r="L177" s="142"/>
      <c r="M177" s="142"/>
      <c r="N177" s="142"/>
      <c r="O177" s="142"/>
      <c r="P177" s="142"/>
      <c r="Q177" s="137"/>
      <c r="R177" s="120"/>
      <c r="S177" s="120"/>
      <c r="T177" s="110"/>
    </row>
    <row r="178" spans="1:20" s="65" customFormat="1">
      <c r="A178" s="140"/>
      <c r="B178" s="138" t="s">
        <v>301</v>
      </c>
      <c r="C178" s="110"/>
      <c r="D178" s="110"/>
      <c r="E178" s="150" t="s">
        <v>396</v>
      </c>
      <c r="F178" s="110"/>
      <c r="G178" s="110"/>
      <c r="H178" s="110"/>
      <c r="I178" s="110"/>
      <c r="J178" s="146">
        <f>J89-J176</f>
        <v>42750.77999999997</v>
      </c>
      <c r="K178" s="142"/>
      <c r="L178" s="146">
        <f>L89-L176</f>
        <v>50221.48000000001</v>
      </c>
      <c r="M178" s="142"/>
      <c r="N178" s="146">
        <f>N89-N176</f>
        <v>41368.200000000012</v>
      </c>
      <c r="O178" s="142"/>
      <c r="P178" s="146">
        <f>P89-P176</f>
        <v>134340.46000000008</v>
      </c>
      <c r="Q178" s="113">
        <f>IF(P$56=0,0,P178/P$56)</f>
        <v>0.18795822881218258</v>
      </c>
      <c r="R178" s="120"/>
      <c r="S178" s="120"/>
      <c r="T178" s="110"/>
    </row>
    <row r="179" spans="1:20" s="65" customFormat="1" ht="7.5" customHeight="1">
      <c r="A179" s="140"/>
      <c r="B179" s="138" t="s">
        <v>301</v>
      </c>
      <c r="C179" s="110"/>
      <c r="D179" s="110"/>
      <c r="E179" s="110"/>
      <c r="F179" s="110"/>
      <c r="G179" s="110"/>
      <c r="H179" s="110"/>
      <c r="I179" s="110"/>
      <c r="J179" s="142"/>
      <c r="K179" s="142"/>
      <c r="L179" s="142"/>
      <c r="M179" s="142"/>
      <c r="N179" s="142"/>
      <c r="O179" s="142"/>
      <c r="P179" s="142"/>
      <c r="Q179" s="137"/>
      <c r="R179" s="120"/>
      <c r="S179" s="120"/>
      <c r="T179" s="110"/>
    </row>
    <row r="180" spans="1:20" s="65" customFormat="1" outlineLevel="1">
      <c r="A180" s="138" t="s">
        <v>301</v>
      </c>
      <c r="B180" s="138" t="s">
        <v>301</v>
      </c>
      <c r="C180" s="110"/>
      <c r="D180" s="110"/>
      <c r="E180" s="110"/>
      <c r="F180" s="110"/>
      <c r="G180" s="110"/>
      <c r="H180" s="110"/>
      <c r="I180" s="110"/>
      <c r="J180" s="142"/>
      <c r="K180" s="142"/>
      <c r="L180" s="142"/>
      <c r="M180" s="142"/>
      <c r="N180" s="142"/>
      <c r="O180" s="142"/>
      <c r="P180" s="142"/>
      <c r="Q180" s="137"/>
      <c r="R180" s="120"/>
      <c r="S180" s="120"/>
      <c r="T180" s="110"/>
    </row>
    <row r="181" spans="1:20" outlineLevel="1">
      <c r="A181" s="105"/>
      <c r="B181" s="106" t="s">
        <v>397</v>
      </c>
      <c r="C181" s="105"/>
      <c r="D181" s="107">
        <v>60225</v>
      </c>
      <c r="E181" s="107" t="s">
        <v>398</v>
      </c>
      <c r="F181" s="108"/>
      <c r="G181" s="109"/>
      <c r="H181" s="110"/>
      <c r="I181" s="111"/>
      <c r="J181" s="112">
        <v>212.5</v>
      </c>
      <c r="K181" s="111"/>
      <c r="L181" s="112">
        <v>0</v>
      </c>
      <c r="M181" s="111"/>
      <c r="N181" s="112">
        <v>0</v>
      </c>
      <c r="O181" s="111"/>
      <c r="P181" s="112">
        <v>212.5</v>
      </c>
      <c r="Q181" s="113">
        <f>IF(P$56=0,0,P181/P$56)</f>
        <v>2.9731269062640382E-4</v>
      </c>
      <c r="R181" s="114"/>
      <c r="S181" s="115"/>
      <c r="T181" s="105"/>
    </row>
    <row r="182" spans="1:20" s="65" customFormat="1" ht="5.0999999999999996" customHeight="1" outlineLevel="1">
      <c r="A182" s="138" t="s">
        <v>301</v>
      </c>
      <c r="B182" s="140" t="s">
        <v>301</v>
      </c>
      <c r="C182" s="110"/>
      <c r="D182" s="108"/>
      <c r="E182" s="108"/>
      <c r="F182" s="108"/>
      <c r="G182" s="108"/>
      <c r="H182" s="110"/>
      <c r="I182" s="110"/>
      <c r="J182" s="143"/>
      <c r="K182" s="142"/>
      <c r="L182" s="143"/>
      <c r="M182" s="142"/>
      <c r="N182" s="143"/>
      <c r="O182" s="142"/>
      <c r="P182" s="143"/>
      <c r="Q182" s="137"/>
      <c r="R182" s="120"/>
      <c r="S182" s="120"/>
      <c r="T182" s="110"/>
    </row>
    <row r="183" spans="1:20" s="65" customFormat="1">
      <c r="A183" s="140" t="s">
        <v>397</v>
      </c>
      <c r="B183" s="140" t="s">
        <v>301</v>
      </c>
      <c r="C183" s="110"/>
      <c r="D183" s="110"/>
      <c r="E183" s="110"/>
      <c r="F183" s="108" t="s">
        <v>399</v>
      </c>
      <c r="G183" s="110"/>
      <c r="H183" s="110"/>
      <c r="I183" s="110"/>
      <c r="J183" s="141">
        <f>SUM(J180:J182)</f>
        <v>212.5</v>
      </c>
      <c r="K183" s="142"/>
      <c r="L183" s="141">
        <f>SUM(L180:L182)</f>
        <v>0</v>
      </c>
      <c r="M183" s="142"/>
      <c r="N183" s="141">
        <f>SUM(N180:N182)</f>
        <v>0</v>
      </c>
      <c r="O183" s="142"/>
      <c r="P183" s="141">
        <f>SUM(P180:P182)</f>
        <v>212.5</v>
      </c>
      <c r="Q183" s="113">
        <f>IF(P$56=0,0,P183/P$56)</f>
        <v>2.9731269062640382E-4</v>
      </c>
      <c r="R183" s="120"/>
      <c r="S183" s="120"/>
      <c r="T183" s="110"/>
    </row>
    <row r="184" spans="1:20" s="65" customFormat="1" outlineLevel="1">
      <c r="A184" s="140" t="s">
        <v>301</v>
      </c>
      <c r="B184" s="140"/>
      <c r="C184" s="110"/>
      <c r="D184" s="110"/>
      <c r="E184" s="110"/>
      <c r="F184" s="110"/>
      <c r="G184" s="110"/>
      <c r="H184" s="110"/>
      <c r="I184" s="110"/>
      <c r="J184" s="142"/>
      <c r="K184" s="142"/>
      <c r="L184" s="142"/>
      <c r="M184" s="142"/>
      <c r="N184" s="142"/>
      <c r="O184" s="142"/>
      <c r="P184" s="142"/>
      <c r="Q184" s="137"/>
      <c r="R184" s="120"/>
      <c r="S184" s="120"/>
      <c r="T184" s="110"/>
    </row>
    <row r="185" spans="1:20" s="65" customFormat="1" outlineLevel="1">
      <c r="A185" s="140" t="s">
        <v>301</v>
      </c>
      <c r="B185" s="140" t="s">
        <v>301</v>
      </c>
      <c r="C185" s="110"/>
      <c r="D185" s="110"/>
      <c r="E185" s="110"/>
      <c r="F185" s="110"/>
      <c r="G185" s="110"/>
      <c r="H185" s="110"/>
      <c r="I185" s="110"/>
      <c r="J185" s="142"/>
      <c r="K185" s="142"/>
      <c r="L185" s="142"/>
      <c r="M185" s="142"/>
      <c r="N185" s="142"/>
      <c r="O185" s="142"/>
      <c r="P185" s="142"/>
      <c r="Q185" s="137"/>
      <c r="R185" s="120"/>
      <c r="S185" s="120"/>
      <c r="T185" s="110"/>
    </row>
    <row r="186" spans="1:20" outlineLevel="1">
      <c r="A186" s="105"/>
      <c r="B186" s="106" t="s">
        <v>400</v>
      </c>
      <c r="C186" s="105"/>
      <c r="D186" s="107">
        <v>70010</v>
      </c>
      <c r="E186" s="107" t="s">
        <v>360</v>
      </c>
      <c r="F186" s="108"/>
      <c r="G186" s="109"/>
      <c r="H186" s="110"/>
      <c r="I186" s="111"/>
      <c r="J186" s="112">
        <v>3972.16</v>
      </c>
      <c r="K186" s="111"/>
      <c r="L186" s="112">
        <v>3975.49</v>
      </c>
      <c r="M186" s="111"/>
      <c r="N186" s="112">
        <v>4205.1000000000004</v>
      </c>
      <c r="O186" s="111"/>
      <c r="P186" s="112">
        <v>12152.75</v>
      </c>
      <c r="Q186" s="113">
        <f t="shared" ref="Q186:Q221" si="12">IF(P$56=0,0,P186/P$56)</f>
        <v>1.7003137887106019E-2</v>
      </c>
      <c r="R186" s="114"/>
      <c r="S186" s="115"/>
      <c r="T186" s="105"/>
    </row>
    <row r="187" spans="1:20" outlineLevel="1">
      <c r="A187" s="105"/>
      <c r="B187" s="106" t="s">
        <v>308</v>
      </c>
      <c r="C187" s="105"/>
      <c r="D187" s="107">
        <v>70020</v>
      </c>
      <c r="E187" s="107" t="s">
        <v>345</v>
      </c>
      <c r="F187" s="108"/>
      <c r="G187" s="109"/>
      <c r="H187" s="110"/>
      <c r="I187" s="111"/>
      <c r="J187" s="112">
        <v>4876.74</v>
      </c>
      <c r="K187" s="111"/>
      <c r="L187" s="112">
        <v>4928.92</v>
      </c>
      <c r="M187" s="111"/>
      <c r="N187" s="112">
        <v>5225.46</v>
      </c>
      <c r="O187" s="111"/>
      <c r="P187" s="112">
        <v>15031.12</v>
      </c>
      <c r="Q187" s="113">
        <f t="shared" si="12"/>
        <v>2.1030318730956947E-2</v>
      </c>
      <c r="R187" s="114"/>
      <c r="S187" s="115"/>
      <c r="T187" s="105"/>
    </row>
    <row r="188" spans="1:20" outlineLevel="1">
      <c r="A188" s="105"/>
      <c r="B188" s="106" t="s">
        <v>308</v>
      </c>
      <c r="C188" s="105"/>
      <c r="D188" s="107">
        <v>70025</v>
      </c>
      <c r="E188" s="107" t="s">
        <v>346</v>
      </c>
      <c r="F188" s="108"/>
      <c r="G188" s="109"/>
      <c r="H188" s="110"/>
      <c r="I188" s="111"/>
      <c r="J188" s="112">
        <v>13.97</v>
      </c>
      <c r="K188" s="111"/>
      <c r="L188" s="112">
        <v>20.96</v>
      </c>
      <c r="M188" s="111"/>
      <c r="N188" s="112">
        <v>29.58</v>
      </c>
      <c r="O188" s="111"/>
      <c r="P188" s="112">
        <v>64.510000000000005</v>
      </c>
      <c r="Q188" s="113">
        <f t="shared" si="12"/>
        <v>9.0257137281455585E-5</v>
      </c>
      <c r="R188" s="114"/>
      <c r="S188" s="115"/>
      <c r="T188" s="105"/>
    </row>
    <row r="189" spans="1:20" outlineLevel="1">
      <c r="A189" s="105"/>
      <c r="B189" s="106" t="s">
        <v>308</v>
      </c>
      <c r="C189" s="105"/>
      <c r="D189" s="107">
        <v>70036</v>
      </c>
      <c r="E189" s="107" t="s">
        <v>401</v>
      </c>
      <c r="F189" s="108"/>
      <c r="G189" s="109"/>
      <c r="H189" s="110"/>
      <c r="I189" s="111"/>
      <c r="J189" s="112">
        <v>0</v>
      </c>
      <c r="K189" s="111"/>
      <c r="L189" s="112">
        <v>1230.25</v>
      </c>
      <c r="M189" s="111"/>
      <c r="N189" s="112">
        <v>100</v>
      </c>
      <c r="O189" s="111"/>
      <c r="P189" s="112">
        <v>1330.25</v>
      </c>
      <c r="Q189" s="113">
        <f t="shared" si="12"/>
        <v>1.8611774433212878E-3</v>
      </c>
      <c r="R189" s="114"/>
      <c r="S189" s="115"/>
      <c r="T189" s="105"/>
    </row>
    <row r="190" spans="1:20" outlineLevel="1">
      <c r="A190" s="105"/>
      <c r="B190" s="106" t="s">
        <v>308</v>
      </c>
      <c r="C190" s="105"/>
      <c r="D190" s="107">
        <v>70050</v>
      </c>
      <c r="E190" s="107" t="s">
        <v>348</v>
      </c>
      <c r="F190" s="108"/>
      <c r="G190" s="109"/>
      <c r="H190" s="110"/>
      <c r="I190" s="111"/>
      <c r="J190" s="112">
        <v>713.97</v>
      </c>
      <c r="K190" s="111"/>
      <c r="L190" s="112">
        <v>887.05</v>
      </c>
      <c r="M190" s="111"/>
      <c r="N190" s="112">
        <v>816.15</v>
      </c>
      <c r="O190" s="111"/>
      <c r="P190" s="112">
        <v>2417.17</v>
      </c>
      <c r="Q190" s="113">
        <f t="shared" si="12"/>
        <v>3.3819073713008212E-3</v>
      </c>
      <c r="R190" s="114"/>
      <c r="S190" s="115"/>
      <c r="T190" s="105"/>
    </row>
    <row r="191" spans="1:20" outlineLevel="1">
      <c r="A191" s="105"/>
      <c r="B191" s="106" t="s">
        <v>308</v>
      </c>
      <c r="C191" s="105"/>
      <c r="D191" s="107">
        <v>70060</v>
      </c>
      <c r="E191" s="107" t="s">
        <v>349</v>
      </c>
      <c r="F191" s="108"/>
      <c r="G191" s="109"/>
      <c r="H191" s="110"/>
      <c r="I191" s="111"/>
      <c r="J191" s="112">
        <v>2145.04</v>
      </c>
      <c r="K191" s="111"/>
      <c r="L191" s="112">
        <v>2428.1999999999998</v>
      </c>
      <c r="M191" s="111"/>
      <c r="N191" s="112">
        <v>2446.17</v>
      </c>
      <c r="O191" s="111"/>
      <c r="P191" s="112">
        <v>7019.41</v>
      </c>
      <c r="Q191" s="113">
        <f t="shared" si="12"/>
        <v>9.8209866998112232E-3</v>
      </c>
      <c r="R191" s="114"/>
      <c r="S191" s="115"/>
      <c r="T191" s="105"/>
    </row>
    <row r="192" spans="1:20" outlineLevel="1">
      <c r="A192" s="105"/>
      <c r="B192" s="106" t="s">
        <v>308</v>
      </c>
      <c r="C192" s="105"/>
      <c r="D192" s="107">
        <v>70065</v>
      </c>
      <c r="E192" s="107" t="s">
        <v>350</v>
      </c>
      <c r="F192" s="108"/>
      <c r="G192" s="109"/>
      <c r="H192" s="110"/>
      <c r="I192" s="111"/>
      <c r="J192" s="112">
        <v>341.8</v>
      </c>
      <c r="K192" s="111"/>
      <c r="L192" s="112">
        <v>312.27999999999997</v>
      </c>
      <c r="M192" s="111"/>
      <c r="N192" s="112">
        <v>311.02999999999997</v>
      </c>
      <c r="O192" s="111"/>
      <c r="P192" s="112">
        <v>965.11</v>
      </c>
      <c r="Q192" s="113">
        <f t="shared" si="12"/>
        <v>1.350303298119758E-3</v>
      </c>
      <c r="R192" s="114"/>
      <c r="S192" s="115"/>
      <c r="T192" s="105"/>
    </row>
    <row r="193" spans="1:20" outlineLevel="1">
      <c r="A193" s="105"/>
      <c r="B193" s="106" t="s">
        <v>308</v>
      </c>
      <c r="C193" s="105"/>
      <c r="D193" s="107">
        <v>70070</v>
      </c>
      <c r="E193" s="107" t="s">
        <v>351</v>
      </c>
      <c r="F193" s="108"/>
      <c r="G193" s="109"/>
      <c r="H193" s="110"/>
      <c r="I193" s="111"/>
      <c r="J193" s="112">
        <v>159.05000000000001</v>
      </c>
      <c r="K193" s="111"/>
      <c r="L193" s="112">
        <v>1.77</v>
      </c>
      <c r="M193" s="111"/>
      <c r="N193" s="112">
        <v>156.65</v>
      </c>
      <c r="O193" s="111"/>
      <c r="P193" s="112">
        <v>317.47000000000003</v>
      </c>
      <c r="Q193" s="113">
        <f t="shared" si="12"/>
        <v>4.4417816420312672E-4</v>
      </c>
      <c r="R193" s="114"/>
      <c r="S193" s="115"/>
      <c r="T193" s="105"/>
    </row>
    <row r="194" spans="1:20" outlineLevel="1">
      <c r="A194" s="105"/>
      <c r="B194" s="106" t="s">
        <v>308</v>
      </c>
      <c r="C194" s="105"/>
      <c r="D194" s="107">
        <v>70086</v>
      </c>
      <c r="E194" s="107" t="s">
        <v>352</v>
      </c>
      <c r="F194" s="108"/>
      <c r="G194" s="109"/>
      <c r="H194" s="110"/>
      <c r="I194" s="111"/>
      <c r="J194" s="112">
        <v>0</v>
      </c>
      <c r="K194" s="111"/>
      <c r="L194" s="112">
        <v>0</v>
      </c>
      <c r="M194" s="111"/>
      <c r="N194" s="112">
        <v>0</v>
      </c>
      <c r="O194" s="111"/>
      <c r="P194" s="112">
        <v>0</v>
      </c>
      <c r="Q194" s="113">
        <f t="shared" si="12"/>
        <v>0</v>
      </c>
      <c r="R194" s="114"/>
      <c r="S194" s="115"/>
      <c r="T194" s="105"/>
    </row>
    <row r="195" spans="1:20" outlineLevel="1">
      <c r="A195" s="105"/>
      <c r="B195" s="106" t="s">
        <v>308</v>
      </c>
      <c r="C195" s="105"/>
      <c r="D195" s="107">
        <v>70095</v>
      </c>
      <c r="E195" s="107" t="s">
        <v>402</v>
      </c>
      <c r="F195" s="108"/>
      <c r="G195" s="109"/>
      <c r="H195" s="110"/>
      <c r="I195" s="111"/>
      <c r="J195" s="112">
        <v>735.38</v>
      </c>
      <c r="K195" s="111"/>
      <c r="L195" s="112">
        <v>92.68</v>
      </c>
      <c r="M195" s="111"/>
      <c r="N195" s="112">
        <v>251.63</v>
      </c>
      <c r="O195" s="111"/>
      <c r="P195" s="112">
        <v>1079.69</v>
      </c>
      <c r="Q195" s="113">
        <f t="shared" si="12"/>
        <v>1.5106143009055151E-3</v>
      </c>
      <c r="R195" s="114"/>
      <c r="S195" s="115"/>
      <c r="T195" s="105"/>
    </row>
    <row r="196" spans="1:20" outlineLevel="1">
      <c r="A196" s="105"/>
      <c r="B196" s="106" t="s">
        <v>308</v>
      </c>
      <c r="C196" s="105"/>
      <c r="D196" s="107">
        <v>70105</v>
      </c>
      <c r="E196" s="107" t="s">
        <v>543</v>
      </c>
      <c r="F196" s="108"/>
      <c r="G196" s="109"/>
      <c r="H196" s="110"/>
      <c r="I196" s="111"/>
      <c r="J196" s="112">
        <v>206.22</v>
      </c>
      <c r="K196" s="111"/>
      <c r="L196" s="112">
        <v>206.22</v>
      </c>
      <c r="M196" s="111"/>
      <c r="N196" s="112">
        <v>206.22</v>
      </c>
      <c r="O196" s="111"/>
      <c r="P196" s="112">
        <v>618.66</v>
      </c>
      <c r="Q196" s="113">
        <f t="shared" si="12"/>
        <v>8.6557867850791043E-4</v>
      </c>
      <c r="R196" s="114"/>
      <c r="S196" s="115"/>
      <c r="T196" s="105"/>
    </row>
    <row r="197" spans="1:20" outlineLevel="1">
      <c r="A197" s="105"/>
      <c r="B197" s="106" t="s">
        <v>308</v>
      </c>
      <c r="C197" s="105"/>
      <c r="D197" s="107">
        <v>70110</v>
      </c>
      <c r="E197" s="107" t="s">
        <v>544</v>
      </c>
      <c r="F197" s="108"/>
      <c r="G197" s="109"/>
      <c r="H197" s="110"/>
      <c r="I197" s="111"/>
      <c r="J197" s="112">
        <v>50</v>
      </c>
      <c r="K197" s="111"/>
      <c r="L197" s="112">
        <v>600</v>
      </c>
      <c r="M197" s="111"/>
      <c r="N197" s="112">
        <v>0</v>
      </c>
      <c r="O197" s="111"/>
      <c r="P197" s="112">
        <v>650</v>
      </c>
      <c r="Q197" s="113">
        <f t="shared" si="12"/>
        <v>9.0942705368076456E-4</v>
      </c>
      <c r="R197" s="114"/>
      <c r="S197" s="115"/>
      <c r="T197" s="105"/>
    </row>
    <row r="198" spans="1:20" outlineLevel="1">
      <c r="A198" s="105"/>
      <c r="B198" s="106" t="s">
        <v>308</v>
      </c>
      <c r="C198" s="105"/>
      <c r="D198" s="107">
        <v>70116</v>
      </c>
      <c r="E198" s="107" t="s">
        <v>354</v>
      </c>
      <c r="F198" s="108"/>
      <c r="G198" s="109"/>
      <c r="H198" s="110"/>
      <c r="I198" s="111"/>
      <c r="J198" s="112">
        <v>177.32</v>
      </c>
      <c r="K198" s="111"/>
      <c r="L198" s="112">
        <v>203.92</v>
      </c>
      <c r="M198" s="111"/>
      <c r="N198" s="112">
        <v>174.74</v>
      </c>
      <c r="O198" s="111"/>
      <c r="P198" s="112">
        <v>555.98</v>
      </c>
      <c r="Q198" s="113">
        <f t="shared" si="12"/>
        <v>7.7788192816220228E-4</v>
      </c>
      <c r="R198" s="114"/>
      <c r="S198" s="115"/>
      <c r="T198" s="105"/>
    </row>
    <row r="199" spans="1:20" outlineLevel="1">
      <c r="A199" s="105"/>
      <c r="B199" s="106" t="s">
        <v>308</v>
      </c>
      <c r="C199" s="105"/>
      <c r="D199" s="107">
        <v>70147</v>
      </c>
      <c r="E199" s="107" t="s">
        <v>545</v>
      </c>
      <c r="F199" s="108"/>
      <c r="G199" s="109"/>
      <c r="H199" s="110"/>
      <c r="I199" s="111"/>
      <c r="J199" s="112">
        <v>0</v>
      </c>
      <c r="K199" s="111"/>
      <c r="L199" s="112">
        <v>13.96</v>
      </c>
      <c r="M199" s="111"/>
      <c r="N199" s="112">
        <v>0</v>
      </c>
      <c r="O199" s="111"/>
      <c r="P199" s="112">
        <v>13.96</v>
      </c>
      <c r="Q199" s="113">
        <f t="shared" si="12"/>
        <v>1.9531694875974577E-5</v>
      </c>
      <c r="R199" s="114"/>
      <c r="S199" s="115"/>
      <c r="T199" s="105"/>
    </row>
    <row r="200" spans="1:20" outlineLevel="1">
      <c r="A200" s="105"/>
      <c r="B200" s="106" t="s">
        <v>308</v>
      </c>
      <c r="C200" s="105"/>
      <c r="D200" s="107">
        <v>70148</v>
      </c>
      <c r="E200" s="107" t="s">
        <v>373</v>
      </c>
      <c r="F200" s="108"/>
      <c r="G200" s="109"/>
      <c r="H200" s="110"/>
      <c r="I200" s="111"/>
      <c r="J200" s="112">
        <v>795.92</v>
      </c>
      <c r="K200" s="111"/>
      <c r="L200" s="112">
        <v>1389.35</v>
      </c>
      <c r="M200" s="111"/>
      <c r="N200" s="112">
        <v>1009.49</v>
      </c>
      <c r="O200" s="111"/>
      <c r="P200" s="112">
        <v>3194.76</v>
      </c>
      <c r="Q200" s="113">
        <f t="shared" si="12"/>
        <v>4.4698479600263994E-3</v>
      </c>
      <c r="R200" s="114"/>
      <c r="S200" s="115"/>
      <c r="T200" s="105"/>
    </row>
    <row r="201" spans="1:20" outlineLevel="1">
      <c r="A201" s="105"/>
      <c r="B201" s="106" t="s">
        <v>308</v>
      </c>
      <c r="C201" s="105"/>
      <c r="D201" s="107">
        <v>70150</v>
      </c>
      <c r="E201" s="107" t="s">
        <v>368</v>
      </c>
      <c r="F201" s="108"/>
      <c r="G201" s="109"/>
      <c r="H201" s="110"/>
      <c r="I201" s="111"/>
      <c r="J201" s="112">
        <v>1867.11</v>
      </c>
      <c r="K201" s="111"/>
      <c r="L201" s="112">
        <v>2567.09</v>
      </c>
      <c r="M201" s="111"/>
      <c r="N201" s="112">
        <v>983.18</v>
      </c>
      <c r="O201" s="111"/>
      <c r="P201" s="112">
        <v>5417.38</v>
      </c>
      <c r="Q201" s="113">
        <f t="shared" si="12"/>
        <v>7.5795568185678466E-3</v>
      </c>
      <c r="R201" s="114"/>
      <c r="S201" s="115"/>
      <c r="T201" s="105"/>
    </row>
    <row r="202" spans="1:20" outlineLevel="1">
      <c r="A202" s="105"/>
      <c r="B202" s="106" t="s">
        <v>308</v>
      </c>
      <c r="C202" s="105"/>
      <c r="D202" s="107">
        <v>70165</v>
      </c>
      <c r="E202" s="107" t="s">
        <v>369</v>
      </c>
      <c r="F202" s="108"/>
      <c r="G202" s="109"/>
      <c r="H202" s="110"/>
      <c r="I202" s="111"/>
      <c r="J202" s="112">
        <v>1000.84</v>
      </c>
      <c r="K202" s="111"/>
      <c r="L202" s="112">
        <v>987.29</v>
      </c>
      <c r="M202" s="111"/>
      <c r="N202" s="112">
        <v>1021.1</v>
      </c>
      <c r="O202" s="111"/>
      <c r="P202" s="112">
        <v>3009.23</v>
      </c>
      <c r="Q202" s="113">
        <f t="shared" si="12"/>
        <v>4.2102694965350266E-3</v>
      </c>
      <c r="R202" s="114"/>
      <c r="S202" s="115"/>
      <c r="T202" s="105"/>
    </row>
    <row r="203" spans="1:20" outlineLevel="1">
      <c r="A203" s="105"/>
      <c r="B203" s="106" t="s">
        <v>308</v>
      </c>
      <c r="C203" s="105"/>
      <c r="D203" s="107">
        <v>70167</v>
      </c>
      <c r="E203" s="107" t="s">
        <v>403</v>
      </c>
      <c r="F203" s="108"/>
      <c r="G203" s="109"/>
      <c r="H203" s="110"/>
      <c r="I203" s="111"/>
      <c r="J203" s="112">
        <v>190.28</v>
      </c>
      <c r="K203" s="111"/>
      <c r="L203" s="112">
        <v>57.75</v>
      </c>
      <c r="M203" s="111"/>
      <c r="N203" s="112">
        <v>93.96</v>
      </c>
      <c r="O203" s="111"/>
      <c r="P203" s="112">
        <v>341.99</v>
      </c>
      <c r="Q203" s="113">
        <f t="shared" si="12"/>
        <v>4.7848455090505334E-4</v>
      </c>
      <c r="R203" s="114"/>
      <c r="S203" s="115"/>
      <c r="T203" s="105"/>
    </row>
    <row r="204" spans="1:20" outlineLevel="1">
      <c r="A204" s="105"/>
      <c r="B204" s="106" t="s">
        <v>308</v>
      </c>
      <c r="C204" s="105"/>
      <c r="D204" s="107">
        <v>70175</v>
      </c>
      <c r="E204" s="107" t="s">
        <v>404</v>
      </c>
      <c r="F204" s="108"/>
      <c r="G204" s="109"/>
      <c r="H204" s="110"/>
      <c r="I204" s="111"/>
      <c r="J204" s="112">
        <v>188.12</v>
      </c>
      <c r="K204" s="111"/>
      <c r="L204" s="112">
        <v>227.85</v>
      </c>
      <c r="M204" s="111"/>
      <c r="N204" s="112">
        <v>36.07</v>
      </c>
      <c r="O204" s="111"/>
      <c r="P204" s="112">
        <v>452.04</v>
      </c>
      <c r="Q204" s="113">
        <f t="shared" si="12"/>
        <v>6.3245754668592744E-4</v>
      </c>
      <c r="R204" s="114"/>
      <c r="S204" s="115"/>
      <c r="T204" s="105"/>
    </row>
    <row r="205" spans="1:20" outlineLevel="1">
      <c r="A205" s="105"/>
      <c r="B205" s="106" t="s">
        <v>308</v>
      </c>
      <c r="C205" s="105"/>
      <c r="D205" s="107">
        <v>70185</v>
      </c>
      <c r="E205" s="107" t="s">
        <v>405</v>
      </c>
      <c r="F205" s="108"/>
      <c r="G205" s="109"/>
      <c r="H205" s="110"/>
      <c r="I205" s="111"/>
      <c r="J205" s="112">
        <v>8.74</v>
      </c>
      <c r="K205" s="111"/>
      <c r="L205" s="112">
        <v>1.42</v>
      </c>
      <c r="M205" s="111"/>
      <c r="N205" s="112">
        <v>7.32</v>
      </c>
      <c r="O205" s="111"/>
      <c r="P205" s="112">
        <v>17.48</v>
      </c>
      <c r="Q205" s="113">
        <f t="shared" si="12"/>
        <v>2.4456592151291947E-5</v>
      </c>
      <c r="R205" s="114"/>
      <c r="S205" s="115"/>
      <c r="T205" s="105"/>
    </row>
    <row r="206" spans="1:20" outlineLevel="1">
      <c r="A206" s="105"/>
      <c r="B206" s="106" t="s">
        <v>308</v>
      </c>
      <c r="C206" s="105"/>
      <c r="D206" s="107">
        <v>70195</v>
      </c>
      <c r="E206" s="107" t="s">
        <v>406</v>
      </c>
      <c r="F206" s="108"/>
      <c r="G206" s="109"/>
      <c r="H206" s="110"/>
      <c r="I206" s="111"/>
      <c r="J206" s="112">
        <v>125.47</v>
      </c>
      <c r="K206" s="111"/>
      <c r="L206" s="112">
        <v>114.17</v>
      </c>
      <c r="M206" s="111"/>
      <c r="N206" s="112">
        <v>932.16</v>
      </c>
      <c r="O206" s="111"/>
      <c r="P206" s="112">
        <v>1171.8</v>
      </c>
      <c r="Q206" s="113">
        <f t="shared" si="12"/>
        <v>1.6394871100047998E-3</v>
      </c>
      <c r="R206" s="114"/>
      <c r="S206" s="115"/>
      <c r="T206" s="105"/>
    </row>
    <row r="207" spans="1:20" outlineLevel="1">
      <c r="A207" s="105"/>
      <c r="B207" s="106" t="s">
        <v>308</v>
      </c>
      <c r="C207" s="105"/>
      <c r="D207" s="107">
        <v>70200</v>
      </c>
      <c r="E207" s="107" t="s">
        <v>407</v>
      </c>
      <c r="F207" s="108"/>
      <c r="G207" s="109"/>
      <c r="H207" s="110"/>
      <c r="I207" s="111"/>
      <c r="J207" s="112">
        <v>-15</v>
      </c>
      <c r="K207" s="111"/>
      <c r="L207" s="112">
        <v>0</v>
      </c>
      <c r="M207" s="111"/>
      <c r="N207" s="112">
        <v>0</v>
      </c>
      <c r="O207" s="111"/>
      <c r="P207" s="112">
        <v>-15</v>
      </c>
      <c r="Q207" s="113">
        <f t="shared" si="12"/>
        <v>-2.0986778161863799E-5</v>
      </c>
      <c r="R207" s="114"/>
      <c r="S207" s="115"/>
      <c r="T207" s="105"/>
    </row>
    <row r="208" spans="1:20" outlineLevel="1">
      <c r="A208" s="105"/>
      <c r="B208" s="106" t="s">
        <v>308</v>
      </c>
      <c r="C208" s="105"/>
      <c r="D208" s="107">
        <v>70201</v>
      </c>
      <c r="E208" s="107" t="s">
        <v>408</v>
      </c>
      <c r="F208" s="108"/>
      <c r="G208" s="109"/>
      <c r="H208" s="110"/>
      <c r="I208" s="111"/>
      <c r="J208" s="112">
        <v>66.39</v>
      </c>
      <c r="K208" s="111"/>
      <c r="L208" s="112">
        <v>128.58000000000001</v>
      </c>
      <c r="M208" s="111"/>
      <c r="N208" s="112">
        <v>0</v>
      </c>
      <c r="O208" s="111"/>
      <c r="P208" s="112">
        <v>194.97</v>
      </c>
      <c r="Q208" s="113">
        <f t="shared" si="12"/>
        <v>2.7278614254790562E-4</v>
      </c>
      <c r="R208" s="114"/>
      <c r="S208" s="115"/>
      <c r="T208" s="105"/>
    </row>
    <row r="209" spans="1:20" outlineLevel="1">
      <c r="A209" s="105"/>
      <c r="B209" s="106" t="s">
        <v>308</v>
      </c>
      <c r="C209" s="105"/>
      <c r="D209" s="107">
        <v>70202</v>
      </c>
      <c r="E209" s="107" t="s">
        <v>546</v>
      </c>
      <c r="F209" s="108"/>
      <c r="G209" s="109"/>
      <c r="H209" s="110"/>
      <c r="I209" s="111"/>
      <c r="J209" s="112">
        <v>632.20000000000005</v>
      </c>
      <c r="K209" s="111"/>
      <c r="L209" s="112">
        <v>216.2</v>
      </c>
      <c r="M209" s="111"/>
      <c r="N209" s="112">
        <v>843.2</v>
      </c>
      <c r="O209" s="111"/>
      <c r="P209" s="112">
        <v>1691.6</v>
      </c>
      <c r="Q209" s="113">
        <f t="shared" si="12"/>
        <v>2.3667489292405865E-3</v>
      </c>
      <c r="R209" s="114"/>
      <c r="S209" s="115"/>
      <c r="T209" s="105"/>
    </row>
    <row r="210" spans="1:20" outlineLevel="1">
      <c r="A210" s="105"/>
      <c r="B210" s="106" t="s">
        <v>308</v>
      </c>
      <c r="C210" s="105"/>
      <c r="D210" s="107">
        <v>70203</v>
      </c>
      <c r="E210" s="107" t="s">
        <v>409</v>
      </c>
      <c r="F210" s="108"/>
      <c r="G210" s="109"/>
      <c r="H210" s="110"/>
      <c r="I210" s="111"/>
      <c r="J210" s="112">
        <v>0</v>
      </c>
      <c r="K210" s="111"/>
      <c r="L210" s="112">
        <v>0</v>
      </c>
      <c r="M210" s="111"/>
      <c r="N210" s="112">
        <v>428.62</v>
      </c>
      <c r="O210" s="111"/>
      <c r="P210" s="112">
        <v>428.62</v>
      </c>
      <c r="Q210" s="113">
        <f t="shared" si="12"/>
        <v>5.9969019038253737E-4</v>
      </c>
      <c r="R210" s="114"/>
      <c r="S210" s="115"/>
      <c r="T210" s="105"/>
    </row>
    <row r="211" spans="1:20" outlineLevel="1">
      <c r="A211" s="105"/>
      <c r="B211" s="106" t="s">
        <v>308</v>
      </c>
      <c r="C211" s="105"/>
      <c r="D211" s="107">
        <v>70205</v>
      </c>
      <c r="E211" s="107" t="s">
        <v>410</v>
      </c>
      <c r="F211" s="108"/>
      <c r="G211" s="109"/>
      <c r="H211" s="110"/>
      <c r="I211" s="111"/>
      <c r="J211" s="112">
        <v>474</v>
      </c>
      <c r="K211" s="111"/>
      <c r="L211" s="112">
        <v>424.44</v>
      </c>
      <c r="M211" s="111"/>
      <c r="N211" s="112">
        <v>618.15</v>
      </c>
      <c r="O211" s="111"/>
      <c r="P211" s="112">
        <v>1516.59</v>
      </c>
      <c r="Q211" s="113">
        <f t="shared" si="12"/>
        <v>2.1218891928334012E-3</v>
      </c>
      <c r="R211" s="114"/>
      <c r="S211" s="115"/>
      <c r="T211" s="105"/>
    </row>
    <row r="212" spans="1:20" outlineLevel="1">
      <c r="A212" s="105"/>
      <c r="B212" s="106" t="s">
        <v>308</v>
      </c>
      <c r="C212" s="105"/>
      <c r="D212" s="107">
        <v>70206</v>
      </c>
      <c r="E212" s="107" t="s">
        <v>411</v>
      </c>
      <c r="F212" s="108"/>
      <c r="G212" s="109"/>
      <c r="H212" s="110"/>
      <c r="I212" s="111"/>
      <c r="J212" s="112">
        <v>206.75</v>
      </c>
      <c r="K212" s="111"/>
      <c r="L212" s="112">
        <v>0</v>
      </c>
      <c r="M212" s="111"/>
      <c r="N212" s="112">
        <v>180.06</v>
      </c>
      <c r="O212" s="111"/>
      <c r="P212" s="112">
        <v>386.81</v>
      </c>
      <c r="Q212" s="113">
        <f t="shared" si="12"/>
        <v>5.4119304405270238E-4</v>
      </c>
      <c r="R212" s="114"/>
      <c r="S212" s="115"/>
      <c r="T212" s="105"/>
    </row>
    <row r="213" spans="1:20" outlineLevel="1">
      <c r="A213" s="105"/>
      <c r="B213" s="106" t="s">
        <v>308</v>
      </c>
      <c r="C213" s="105"/>
      <c r="D213" s="107">
        <v>70210</v>
      </c>
      <c r="E213" s="107" t="s">
        <v>412</v>
      </c>
      <c r="F213" s="108"/>
      <c r="G213" s="109"/>
      <c r="H213" s="110"/>
      <c r="I213" s="111"/>
      <c r="J213" s="112">
        <v>1744.39</v>
      </c>
      <c r="K213" s="111"/>
      <c r="L213" s="112">
        <v>671.19</v>
      </c>
      <c r="M213" s="111"/>
      <c r="N213" s="112">
        <v>648.83000000000004</v>
      </c>
      <c r="O213" s="111"/>
      <c r="P213" s="112">
        <v>3064.41</v>
      </c>
      <c r="Q213" s="113">
        <f t="shared" si="12"/>
        <v>4.2874728577998022E-3</v>
      </c>
      <c r="R213" s="114"/>
      <c r="S213" s="115"/>
      <c r="T213" s="105"/>
    </row>
    <row r="214" spans="1:20" outlineLevel="1">
      <c r="A214" s="105"/>
      <c r="B214" s="106" t="s">
        <v>308</v>
      </c>
      <c r="C214" s="105"/>
      <c r="D214" s="107">
        <v>70214</v>
      </c>
      <c r="E214" s="107" t="s">
        <v>413</v>
      </c>
      <c r="F214" s="108"/>
      <c r="G214" s="109"/>
      <c r="H214" s="110"/>
      <c r="I214" s="111"/>
      <c r="J214" s="112">
        <v>399.76</v>
      </c>
      <c r="K214" s="111"/>
      <c r="L214" s="112">
        <v>488.94</v>
      </c>
      <c r="M214" s="111"/>
      <c r="N214" s="112">
        <v>348.25</v>
      </c>
      <c r="O214" s="111"/>
      <c r="P214" s="112">
        <v>1236.95</v>
      </c>
      <c r="Q214" s="113">
        <f t="shared" si="12"/>
        <v>1.730639683154495E-3</v>
      </c>
      <c r="R214" s="114"/>
      <c r="S214" s="115"/>
      <c r="T214" s="105"/>
    </row>
    <row r="215" spans="1:20" outlineLevel="1">
      <c r="A215" s="105"/>
      <c r="B215" s="106" t="s">
        <v>308</v>
      </c>
      <c r="C215" s="105"/>
      <c r="D215" s="107">
        <v>70215</v>
      </c>
      <c r="E215" s="107" t="s">
        <v>547</v>
      </c>
      <c r="F215" s="108"/>
      <c r="G215" s="109"/>
      <c r="H215" s="110"/>
      <c r="I215" s="111"/>
      <c r="J215" s="112">
        <v>0</v>
      </c>
      <c r="K215" s="111"/>
      <c r="L215" s="112">
        <v>0</v>
      </c>
      <c r="M215" s="111"/>
      <c r="N215" s="112">
        <v>0</v>
      </c>
      <c r="O215" s="111"/>
      <c r="P215" s="112">
        <v>0</v>
      </c>
      <c r="Q215" s="113">
        <f t="shared" si="12"/>
        <v>0</v>
      </c>
      <c r="R215" s="114"/>
      <c r="S215" s="115"/>
      <c r="T215" s="105"/>
    </row>
    <row r="216" spans="1:20" outlineLevel="1">
      <c r="A216" s="105"/>
      <c r="B216" s="106" t="s">
        <v>308</v>
      </c>
      <c r="C216" s="105"/>
      <c r="D216" s="107">
        <v>70245</v>
      </c>
      <c r="E216" s="107" t="s">
        <v>414</v>
      </c>
      <c r="F216" s="108"/>
      <c r="G216" s="109"/>
      <c r="H216" s="110"/>
      <c r="I216" s="111"/>
      <c r="J216" s="112">
        <v>51.3</v>
      </c>
      <c r="K216" s="111"/>
      <c r="L216" s="112">
        <v>51.17</v>
      </c>
      <c r="M216" s="111"/>
      <c r="N216" s="112">
        <v>51.96</v>
      </c>
      <c r="O216" s="111"/>
      <c r="P216" s="112">
        <v>154.43</v>
      </c>
      <c r="Q216" s="113">
        <f t="shared" si="12"/>
        <v>2.1606587676910842E-4</v>
      </c>
      <c r="R216" s="114"/>
      <c r="S216" s="115"/>
      <c r="T216" s="105"/>
    </row>
    <row r="217" spans="1:20" outlineLevel="1">
      <c r="A217" s="105"/>
      <c r="B217" s="106" t="s">
        <v>308</v>
      </c>
      <c r="C217" s="105"/>
      <c r="D217" s="107">
        <v>70255</v>
      </c>
      <c r="E217" s="107" t="s">
        <v>380</v>
      </c>
      <c r="F217" s="108"/>
      <c r="G217" s="109"/>
      <c r="H217" s="110"/>
      <c r="I217" s="111"/>
      <c r="J217" s="112">
        <v>24.84</v>
      </c>
      <c r="K217" s="111"/>
      <c r="L217" s="112">
        <v>30.87</v>
      </c>
      <c r="M217" s="111"/>
      <c r="N217" s="112">
        <v>73.930000000000007</v>
      </c>
      <c r="O217" s="111"/>
      <c r="P217" s="112">
        <v>129.63999999999999</v>
      </c>
      <c r="Q217" s="113">
        <f t="shared" si="12"/>
        <v>1.8138172806026818E-4</v>
      </c>
      <c r="R217" s="114"/>
      <c r="S217" s="115"/>
      <c r="T217" s="105"/>
    </row>
    <row r="218" spans="1:20" outlineLevel="1">
      <c r="A218" s="105"/>
      <c r="B218" s="106" t="s">
        <v>308</v>
      </c>
      <c r="C218" s="105"/>
      <c r="D218" s="107">
        <v>70300</v>
      </c>
      <c r="E218" s="107" t="s">
        <v>415</v>
      </c>
      <c r="F218" s="108"/>
      <c r="G218" s="109"/>
      <c r="H218" s="110"/>
      <c r="I218" s="111"/>
      <c r="J218" s="112">
        <v>1418.56</v>
      </c>
      <c r="K218" s="111"/>
      <c r="L218" s="112">
        <v>1418.56</v>
      </c>
      <c r="M218" s="111"/>
      <c r="N218" s="112">
        <v>1418.56</v>
      </c>
      <c r="O218" s="111"/>
      <c r="P218" s="112">
        <v>4255.68</v>
      </c>
      <c r="Q218" s="113">
        <f t="shared" si="12"/>
        <v>5.9542008058587025E-3</v>
      </c>
      <c r="R218" s="114"/>
      <c r="S218" s="115"/>
      <c r="T218" s="105"/>
    </row>
    <row r="219" spans="1:20" outlineLevel="1">
      <c r="A219" s="105"/>
      <c r="B219" s="106" t="s">
        <v>308</v>
      </c>
      <c r="C219" s="105"/>
      <c r="D219" s="107">
        <v>70310</v>
      </c>
      <c r="E219" s="107" t="s">
        <v>416</v>
      </c>
      <c r="F219" s="108"/>
      <c r="G219" s="109"/>
      <c r="H219" s="110"/>
      <c r="I219" s="111"/>
      <c r="J219" s="112">
        <v>827.06</v>
      </c>
      <c r="K219" s="111"/>
      <c r="L219" s="112">
        <v>341.47</v>
      </c>
      <c r="M219" s="111"/>
      <c r="N219" s="112">
        <v>-202.31</v>
      </c>
      <c r="O219" s="111"/>
      <c r="P219" s="112">
        <v>966.22</v>
      </c>
      <c r="Q219" s="113">
        <f t="shared" si="12"/>
        <v>1.3518563197037359E-3</v>
      </c>
      <c r="R219" s="114"/>
      <c r="S219" s="115"/>
      <c r="T219" s="105"/>
    </row>
    <row r="220" spans="1:20" outlineLevel="1">
      <c r="A220" s="105"/>
      <c r="B220" s="106" t="s">
        <v>308</v>
      </c>
      <c r="C220" s="105"/>
      <c r="D220" s="107">
        <v>70320</v>
      </c>
      <c r="E220" s="107" t="s">
        <v>417</v>
      </c>
      <c r="F220" s="108"/>
      <c r="G220" s="109"/>
      <c r="H220" s="110"/>
      <c r="I220" s="111"/>
      <c r="J220" s="112">
        <v>35.22</v>
      </c>
      <c r="K220" s="111"/>
      <c r="L220" s="112">
        <v>294.35000000000002</v>
      </c>
      <c r="M220" s="111"/>
      <c r="N220" s="112">
        <v>57.98</v>
      </c>
      <c r="O220" s="111"/>
      <c r="P220" s="112">
        <v>387.55</v>
      </c>
      <c r="Q220" s="113">
        <f t="shared" si="12"/>
        <v>5.422283917753543E-4</v>
      </c>
      <c r="R220" s="114"/>
      <c r="S220" s="115"/>
      <c r="T220" s="105"/>
    </row>
    <row r="221" spans="1:20" outlineLevel="1">
      <c r="A221" s="105"/>
      <c r="B221" s="106" t="s">
        <v>308</v>
      </c>
      <c r="C221" s="105"/>
      <c r="D221" s="107">
        <v>70336</v>
      </c>
      <c r="E221" s="107" t="s">
        <v>551</v>
      </c>
      <c r="F221" s="108"/>
      <c r="G221" s="109"/>
      <c r="H221" s="110"/>
      <c r="I221" s="111"/>
      <c r="J221" s="112">
        <v>3.86</v>
      </c>
      <c r="K221" s="111"/>
      <c r="L221" s="112">
        <v>107.51</v>
      </c>
      <c r="M221" s="111"/>
      <c r="N221" s="112">
        <v>79.7</v>
      </c>
      <c r="O221" s="111"/>
      <c r="P221" s="112">
        <v>191.07</v>
      </c>
      <c r="Q221" s="113">
        <f t="shared" si="12"/>
        <v>2.6732958022582107E-4</v>
      </c>
      <c r="R221" s="114"/>
      <c r="S221" s="115"/>
      <c r="T221" s="105"/>
    </row>
    <row r="222" spans="1:20" s="65" customFormat="1" ht="5.0999999999999996" customHeight="1" outlineLevel="1">
      <c r="A222" s="140" t="s">
        <v>301</v>
      </c>
      <c r="B222" s="140" t="s">
        <v>301</v>
      </c>
      <c r="C222" s="110"/>
      <c r="D222" s="108"/>
      <c r="E222" s="108"/>
      <c r="F222" s="108"/>
      <c r="G222" s="108"/>
      <c r="H222" s="110"/>
      <c r="I222" s="110"/>
      <c r="J222" s="143"/>
      <c r="K222" s="142"/>
      <c r="L222" s="143"/>
      <c r="M222" s="142"/>
      <c r="N222" s="143"/>
      <c r="O222" s="142"/>
      <c r="P222" s="143"/>
      <c r="Q222" s="137"/>
      <c r="R222" s="120"/>
      <c r="S222" s="120"/>
      <c r="T222" s="110"/>
    </row>
    <row r="223" spans="1:20" s="65" customFormat="1">
      <c r="A223" s="140" t="s">
        <v>400</v>
      </c>
      <c r="B223" s="140" t="s">
        <v>301</v>
      </c>
      <c r="C223" s="110"/>
      <c r="D223" s="110"/>
      <c r="E223" s="110"/>
      <c r="F223" s="108" t="s">
        <v>419</v>
      </c>
      <c r="G223" s="110"/>
      <c r="H223" s="110"/>
      <c r="I223" s="110"/>
      <c r="J223" s="141">
        <f>SUM(J185:J222)</f>
        <v>23437.459999999995</v>
      </c>
      <c r="K223" s="142"/>
      <c r="L223" s="141">
        <f>SUM(L185:L222)</f>
        <v>24419.899999999991</v>
      </c>
      <c r="M223" s="142"/>
      <c r="N223" s="141">
        <f>SUM(N185:N222)</f>
        <v>22552.940000000002</v>
      </c>
      <c r="O223" s="142"/>
      <c r="P223" s="141">
        <f>SUM(P185:P222)</f>
        <v>70410.300000000032</v>
      </c>
      <c r="Q223" s="113">
        <f>IF(P$56=0,0,P223/P$56)</f>
        <v>9.8512356427351955E-2</v>
      </c>
      <c r="R223" s="120"/>
      <c r="S223" s="120"/>
      <c r="T223" s="110"/>
    </row>
    <row r="224" spans="1:20" s="65" customFormat="1" outlineLevel="1">
      <c r="A224" s="140" t="s">
        <v>301</v>
      </c>
      <c r="B224" s="140" t="s">
        <v>301</v>
      </c>
      <c r="C224" s="110"/>
      <c r="D224" s="110"/>
      <c r="E224" s="110"/>
      <c r="F224" s="110"/>
      <c r="G224" s="110"/>
      <c r="H224" s="110"/>
      <c r="I224" s="110"/>
      <c r="J224" s="142"/>
      <c r="K224" s="142"/>
      <c r="L224" s="142"/>
      <c r="M224" s="142"/>
      <c r="N224" s="142"/>
      <c r="O224" s="142"/>
      <c r="P224" s="142"/>
      <c r="Q224" s="137"/>
      <c r="R224" s="120"/>
      <c r="S224" s="120"/>
      <c r="T224" s="110"/>
    </row>
    <row r="225" spans="1:20" outlineLevel="1">
      <c r="A225" s="105"/>
      <c r="B225" s="106" t="s">
        <v>420</v>
      </c>
      <c r="C225" s="105"/>
      <c r="D225" s="107">
        <v>70149</v>
      </c>
      <c r="E225" s="107" t="s">
        <v>421</v>
      </c>
      <c r="F225" s="108"/>
      <c r="G225" s="109"/>
      <c r="H225" s="110"/>
      <c r="I225" s="111"/>
      <c r="J225" s="112">
        <v>8381.01</v>
      </c>
      <c r="K225" s="111"/>
      <c r="L225" s="112">
        <v>8362.7099999999991</v>
      </c>
      <c r="M225" s="111"/>
      <c r="N225" s="112">
        <v>8941.76</v>
      </c>
      <c r="O225" s="111"/>
      <c r="P225" s="112">
        <v>25685.48</v>
      </c>
      <c r="Q225" s="113">
        <f>IF(P$56=0,0,P225/P$56)</f>
        <v>3.5937031382732625E-2</v>
      </c>
      <c r="R225" s="114"/>
      <c r="S225" s="115"/>
      <c r="T225" s="105"/>
    </row>
    <row r="226" spans="1:20" s="65" customFormat="1" ht="5.0999999999999996" customHeight="1" outlineLevel="1">
      <c r="A226" s="140" t="s">
        <v>301</v>
      </c>
      <c r="B226" s="140" t="s">
        <v>301</v>
      </c>
      <c r="C226" s="110"/>
      <c r="D226" s="108"/>
      <c r="E226" s="108"/>
      <c r="F226" s="108"/>
      <c r="G226" s="108"/>
      <c r="H226" s="110"/>
      <c r="I226" s="110"/>
      <c r="J226" s="143"/>
      <c r="K226" s="142"/>
      <c r="L226" s="143"/>
      <c r="M226" s="142"/>
      <c r="N226" s="143"/>
      <c r="O226" s="142"/>
      <c r="P226" s="143"/>
      <c r="Q226" s="137"/>
      <c r="R226" s="120"/>
      <c r="S226" s="120"/>
      <c r="T226" s="110"/>
    </row>
    <row r="227" spans="1:20" s="65" customFormat="1">
      <c r="A227" s="140" t="s">
        <v>420</v>
      </c>
      <c r="B227" s="140" t="s">
        <v>301</v>
      </c>
      <c r="C227" s="110"/>
      <c r="D227" s="110"/>
      <c r="E227" s="110"/>
      <c r="F227" s="107" t="s">
        <v>422</v>
      </c>
      <c r="G227" s="110"/>
      <c r="H227" s="110"/>
      <c r="I227" s="110"/>
      <c r="J227" s="141">
        <f>SUM(J224:J226)</f>
        <v>8381.01</v>
      </c>
      <c r="K227" s="142"/>
      <c r="L227" s="141">
        <f>SUM(L224:L226)</f>
        <v>8362.7099999999991</v>
      </c>
      <c r="M227" s="142"/>
      <c r="N227" s="141">
        <f>SUM(N224:N226)</f>
        <v>8941.76</v>
      </c>
      <c r="O227" s="142"/>
      <c r="P227" s="141">
        <f>SUM(P224:P226)</f>
        <v>25685.48</v>
      </c>
      <c r="Q227" s="113">
        <f>IF(P$56=0,0,P227/P$56)</f>
        <v>3.5937031382732625E-2</v>
      </c>
      <c r="R227" s="120"/>
      <c r="S227" s="120"/>
      <c r="T227" s="110"/>
    </row>
    <row r="228" spans="1:20" s="65" customFormat="1" ht="7.5" customHeight="1">
      <c r="A228" s="140" t="s">
        <v>301</v>
      </c>
      <c r="B228" s="140"/>
      <c r="C228" s="110"/>
      <c r="D228" s="110"/>
      <c r="E228" s="110"/>
      <c r="F228" s="110"/>
      <c r="G228" s="110"/>
      <c r="H228" s="110"/>
      <c r="I228" s="110"/>
      <c r="J228" s="142"/>
      <c r="K228" s="142"/>
      <c r="L228" s="142"/>
      <c r="M228" s="142"/>
      <c r="N228" s="142"/>
      <c r="O228" s="142"/>
      <c r="P228" s="142"/>
      <c r="Q228" s="137"/>
      <c r="R228" s="120"/>
      <c r="S228" s="120"/>
      <c r="T228" s="110"/>
    </row>
    <row r="229" spans="1:20" s="65" customFormat="1">
      <c r="A229" s="140" t="s">
        <v>301</v>
      </c>
      <c r="B229" s="140"/>
      <c r="C229" s="110"/>
      <c r="D229" s="110"/>
      <c r="E229" s="145" t="s">
        <v>423</v>
      </c>
      <c r="F229" s="110"/>
      <c r="G229" s="110"/>
      <c r="H229" s="110"/>
      <c r="I229" s="110"/>
      <c r="J229" s="146">
        <f>+J183+J223+J227</f>
        <v>32030.969999999994</v>
      </c>
      <c r="K229" s="142"/>
      <c r="L229" s="146">
        <f>+L183+L223+L227</f>
        <v>32782.609999999986</v>
      </c>
      <c r="M229" s="142"/>
      <c r="N229" s="146">
        <f>+N183+N223+N227</f>
        <v>31494.700000000004</v>
      </c>
      <c r="O229" s="142"/>
      <c r="P229" s="146">
        <f>+P183+P223+P227</f>
        <v>96308.280000000028</v>
      </c>
      <c r="Q229" s="113">
        <f>IF(P$56=0,0,P229/P$56)</f>
        <v>0.13474670050071097</v>
      </c>
      <c r="R229" s="120"/>
      <c r="S229" s="120"/>
      <c r="T229" s="110"/>
    </row>
    <row r="230" spans="1:20" s="65" customFormat="1" ht="7.5" customHeight="1">
      <c r="A230" s="140"/>
      <c r="B230" s="140"/>
      <c r="C230" s="110"/>
      <c r="D230" s="110"/>
      <c r="E230" s="110"/>
      <c r="F230" s="110"/>
      <c r="G230" s="110"/>
      <c r="H230" s="110"/>
      <c r="I230" s="110"/>
      <c r="J230" s="142"/>
      <c r="K230" s="142"/>
      <c r="L230" s="142"/>
      <c r="M230" s="142"/>
      <c r="N230" s="142"/>
      <c r="O230" s="142"/>
      <c r="P230" s="142"/>
      <c r="Q230" s="137"/>
      <c r="R230" s="120"/>
      <c r="S230" s="120"/>
      <c r="T230" s="110"/>
    </row>
    <row r="231" spans="1:20" s="65" customFormat="1" ht="7.5" customHeight="1">
      <c r="A231" s="140"/>
      <c r="B231" s="140" t="s">
        <v>301</v>
      </c>
      <c r="C231" s="110"/>
      <c r="D231" s="151"/>
      <c r="E231" s="151"/>
      <c r="F231" s="151"/>
      <c r="G231" s="151"/>
      <c r="H231" s="151"/>
      <c r="I231" s="151"/>
      <c r="J231" s="152"/>
      <c r="K231" s="142"/>
      <c r="L231" s="152"/>
      <c r="M231" s="142"/>
      <c r="N231" s="152"/>
      <c r="O231" s="142"/>
      <c r="P231" s="152"/>
      <c r="Q231" s="137"/>
      <c r="R231" s="120"/>
      <c r="S231" s="120"/>
      <c r="T231" s="110"/>
    </row>
    <row r="232" spans="1:20" s="65" customFormat="1">
      <c r="A232" s="140"/>
      <c r="B232" s="140" t="s">
        <v>301</v>
      </c>
      <c r="C232" s="110"/>
      <c r="D232" s="110"/>
      <c r="E232" s="154" t="s">
        <v>424</v>
      </c>
      <c r="F232" s="155"/>
      <c r="G232" s="155"/>
      <c r="H232" s="155"/>
      <c r="I232" s="155"/>
      <c r="J232" s="156">
        <f>+J178-J229</f>
        <v>10719.809999999976</v>
      </c>
      <c r="K232" s="157"/>
      <c r="L232" s="156">
        <f>+L178-L229</f>
        <v>17438.870000000024</v>
      </c>
      <c r="M232" s="158"/>
      <c r="N232" s="156">
        <f>+N178-N229</f>
        <v>9873.5000000000073</v>
      </c>
      <c r="O232" s="158"/>
      <c r="P232" s="156">
        <f>+P178-P229</f>
        <v>38032.180000000051</v>
      </c>
      <c r="Q232" s="113">
        <f>IF(P$56=0,0,P232/P$56)</f>
        <v>5.3211528311471613E-2</v>
      </c>
      <c r="R232" s="159"/>
      <c r="S232" s="110"/>
      <c r="T232" s="110"/>
    </row>
    <row r="233" spans="1:20" s="65" customFormat="1" ht="6.75" customHeight="1">
      <c r="A233" s="140" t="s">
        <v>301</v>
      </c>
      <c r="B233" s="140" t="s">
        <v>301</v>
      </c>
      <c r="C233" s="105"/>
      <c r="D233" s="160"/>
      <c r="E233" s="160"/>
      <c r="F233" s="160"/>
      <c r="G233" s="160"/>
      <c r="H233" s="160"/>
      <c r="I233" s="160"/>
      <c r="J233" s="161"/>
      <c r="K233" s="160"/>
      <c r="L233" s="161"/>
      <c r="M233" s="162"/>
      <c r="N233" s="161"/>
      <c r="O233" s="162"/>
      <c r="P233" s="161"/>
      <c r="Q233" s="163"/>
      <c r="R233" s="120"/>
      <c r="S233" s="120"/>
      <c r="T233" s="110"/>
    </row>
    <row r="234" spans="1:20" s="65" customFormat="1">
      <c r="A234" s="140" t="s">
        <v>301</v>
      </c>
      <c r="B234" s="140" t="s">
        <v>301</v>
      </c>
      <c r="C234" s="105"/>
      <c r="D234" s="110"/>
      <c r="E234" s="164" t="s">
        <v>425</v>
      </c>
      <c r="F234" s="165"/>
      <c r="G234" s="165"/>
      <c r="H234" s="165"/>
      <c r="I234" s="165"/>
      <c r="J234" s="166">
        <f>J232 +J170+SUMIF($D:$D,52141,J:J)+SUMIF($D:$D,52142,J:J)+SUMIF($D:$D,52143,J:J)+SUMIF($D:$D,55142,J:J)+SUMIF($D:$D,56142,J:J)+SUMIF($D:$D,70142,J:J)</f>
        <v>20878.599999999977</v>
      </c>
      <c r="K234" s="165"/>
      <c r="L234" s="166">
        <f>L232 +L170+SUMIF($D:$D,52141,L:L)+SUMIF($D:$D,52142,L:L)+SUMIF($D:$D,52143,L:L)+SUMIF($D:$D,55142,L:L)+SUMIF($D:$D,56142,L:L)+SUMIF($D:$D,70142,L:L)</f>
        <v>29861.940000000024</v>
      </c>
      <c r="M234" s="167"/>
      <c r="N234" s="166">
        <f>N232 +N170+SUMIF($D:$D,52141,N:N)+SUMIF($D:$D,52142,N:N)+SUMIF($D:$D,52143,N:N)+SUMIF($D:$D,55142,N:N)+SUMIF($D:$D,56142,N:N)+SUMIF($D:$D,70142,N:N)</f>
        <v>23915.180000000008</v>
      </c>
      <c r="O234" s="167"/>
      <c r="P234" s="166">
        <f>P232 +P170+SUMIF($D:$D,52141,P:P)+SUMIF($D:$D,52142,P:P)+SUMIF($D:$D,52143,P:P)+SUMIF($D:$D,55142,P:P)+SUMIF($D:$D,56142,P:P)+SUMIF($D:$D,70142,P:P)</f>
        <v>74655.720000000045</v>
      </c>
      <c r="Q234" s="113">
        <f>IF(P$56=0,0,P234/P$56)</f>
        <v>0.10445220227694796</v>
      </c>
      <c r="R234" s="159"/>
      <c r="S234" s="110"/>
      <c r="T234" s="110"/>
    </row>
    <row r="235" spans="1:20" s="65" customFormat="1" ht="6.75" customHeight="1">
      <c r="A235" s="140" t="s">
        <v>301</v>
      </c>
      <c r="B235" s="140" t="s">
        <v>301</v>
      </c>
      <c r="C235" s="105"/>
      <c r="D235" s="110"/>
      <c r="E235" s="110"/>
      <c r="F235" s="110"/>
      <c r="G235" s="110"/>
      <c r="H235" s="110"/>
      <c r="I235" s="110"/>
      <c r="J235" s="142"/>
      <c r="K235" s="142"/>
      <c r="L235" s="142"/>
      <c r="M235" s="168"/>
      <c r="N235" s="142"/>
      <c r="O235" s="168"/>
      <c r="P235" s="142"/>
      <c r="Q235" s="163"/>
      <c r="R235" s="120"/>
      <c r="S235" s="110"/>
      <c r="T235" s="110"/>
    </row>
    <row r="236" spans="1:20" outlineLevel="1">
      <c r="A236" s="105"/>
      <c r="B236" s="106" t="s">
        <v>426</v>
      </c>
      <c r="C236" s="105"/>
      <c r="D236" s="107">
        <v>51260</v>
      </c>
      <c r="E236" s="107" t="s">
        <v>427</v>
      </c>
      <c r="F236" s="108"/>
      <c r="G236" s="109"/>
      <c r="H236" s="110"/>
      <c r="I236" s="111"/>
      <c r="J236" s="112">
        <v>10829.78</v>
      </c>
      <c r="K236" s="111"/>
      <c r="L236" s="112">
        <v>12959.4</v>
      </c>
      <c r="M236" s="111"/>
      <c r="N236" s="112">
        <v>13259.32</v>
      </c>
      <c r="O236" s="111"/>
      <c r="P236" s="112">
        <v>37048.5</v>
      </c>
      <c r="Q236" s="113">
        <f t="shared" ref="Q236:Q239" si="13">IF(P$56=0,0,P236/P$56)</f>
        <v>5.1835243381987396E-2</v>
      </c>
      <c r="R236" s="114"/>
      <c r="S236" s="115"/>
      <c r="T236" s="105"/>
    </row>
    <row r="237" spans="1:20" outlineLevel="1">
      <c r="A237" s="105"/>
      <c r="B237" s="106" t="s">
        <v>308</v>
      </c>
      <c r="C237" s="105"/>
      <c r="D237" s="107">
        <v>54260</v>
      </c>
      <c r="E237" s="107" t="s">
        <v>427</v>
      </c>
      <c r="F237" s="108"/>
      <c r="G237" s="109"/>
      <c r="H237" s="110"/>
      <c r="I237" s="111"/>
      <c r="J237" s="112">
        <v>2858.99</v>
      </c>
      <c r="K237" s="111"/>
      <c r="L237" s="112">
        <v>2858.98</v>
      </c>
      <c r="M237" s="111"/>
      <c r="N237" s="112">
        <v>2859.02</v>
      </c>
      <c r="O237" s="111"/>
      <c r="P237" s="112">
        <v>8576.99</v>
      </c>
      <c r="Q237" s="113">
        <f t="shared" si="13"/>
        <v>1.2000225761768278E-2</v>
      </c>
      <c r="R237" s="114"/>
      <c r="S237" s="115"/>
      <c r="T237" s="105"/>
    </row>
    <row r="238" spans="1:20" outlineLevel="1">
      <c r="A238" s="105"/>
      <c r="B238" s="106" t="s">
        <v>308</v>
      </c>
      <c r="C238" s="105"/>
      <c r="D238" s="107">
        <v>57260</v>
      </c>
      <c r="E238" s="107" t="s">
        <v>427</v>
      </c>
      <c r="F238" s="108"/>
      <c r="G238" s="109"/>
      <c r="H238" s="110"/>
      <c r="I238" s="111"/>
      <c r="J238" s="112">
        <v>2096.86</v>
      </c>
      <c r="K238" s="111"/>
      <c r="L238" s="112">
        <v>2096.89</v>
      </c>
      <c r="M238" s="111"/>
      <c r="N238" s="112">
        <v>2096.89</v>
      </c>
      <c r="O238" s="111"/>
      <c r="P238" s="112">
        <v>6290.64</v>
      </c>
      <c r="Q238" s="113">
        <f t="shared" si="13"/>
        <v>8.8013510784097932E-3</v>
      </c>
      <c r="R238" s="114"/>
      <c r="S238" s="115"/>
      <c r="T238" s="105"/>
    </row>
    <row r="239" spans="1:20" outlineLevel="1">
      <c r="A239" s="105"/>
      <c r="B239" s="106" t="s">
        <v>308</v>
      </c>
      <c r="C239" s="105"/>
      <c r="D239" s="107">
        <v>70260</v>
      </c>
      <c r="E239" s="107" t="s">
        <v>427</v>
      </c>
      <c r="F239" s="108"/>
      <c r="G239" s="109"/>
      <c r="H239" s="110"/>
      <c r="I239" s="111"/>
      <c r="J239" s="112">
        <v>140.94999999999999</v>
      </c>
      <c r="K239" s="111"/>
      <c r="L239" s="112">
        <v>140.93</v>
      </c>
      <c r="M239" s="111"/>
      <c r="N239" s="112">
        <v>140.94</v>
      </c>
      <c r="O239" s="111"/>
      <c r="P239" s="112">
        <v>422.82</v>
      </c>
      <c r="Q239" s="113">
        <f t="shared" si="13"/>
        <v>5.9157530282661676E-4</v>
      </c>
      <c r="R239" s="114"/>
      <c r="S239" s="115"/>
      <c r="T239" s="105"/>
    </row>
    <row r="240" spans="1:20" s="65" customFormat="1" ht="5.0999999999999996" customHeight="1" outlineLevel="1">
      <c r="A240" s="140" t="s">
        <v>301</v>
      </c>
      <c r="B240" s="140" t="s">
        <v>301</v>
      </c>
      <c r="C240" s="105"/>
      <c r="D240" s="108"/>
      <c r="E240" s="108"/>
      <c r="F240" s="108"/>
      <c r="G240" s="108"/>
      <c r="H240" s="110"/>
      <c r="I240" s="110"/>
      <c r="J240" s="143"/>
      <c r="K240" s="142"/>
      <c r="L240" s="143"/>
      <c r="M240" s="142"/>
      <c r="N240" s="143"/>
      <c r="O240" s="168"/>
      <c r="P240" s="143"/>
      <c r="Q240" s="163"/>
      <c r="R240" s="120"/>
      <c r="S240" s="110"/>
      <c r="T240" s="110"/>
    </row>
    <row r="241" spans="1:20" s="65" customFormat="1">
      <c r="A241" s="140" t="s">
        <v>426</v>
      </c>
      <c r="B241" s="140" t="s">
        <v>301</v>
      </c>
      <c r="C241" s="105"/>
      <c r="D241" s="110"/>
      <c r="E241" s="110"/>
      <c r="F241" s="108" t="s">
        <v>427</v>
      </c>
      <c r="G241" s="110"/>
      <c r="H241" s="110"/>
      <c r="I241" s="110"/>
      <c r="J241" s="141">
        <f>SUM(J236:J240)</f>
        <v>15926.580000000002</v>
      </c>
      <c r="K241" s="142"/>
      <c r="L241" s="141">
        <f>SUM(L236:L240)</f>
        <v>18056.2</v>
      </c>
      <c r="M241" s="142"/>
      <c r="N241" s="141">
        <f>SUM(N236:N240)</f>
        <v>18356.169999999998</v>
      </c>
      <c r="O241" s="169">
        <f>IF(N$50=0,0,N241/N$50)</f>
        <v>0</v>
      </c>
      <c r="P241" s="141">
        <f>SUM(P236:P240)</f>
        <v>52338.95</v>
      </c>
      <c r="Q241" s="113">
        <f>IF(P$56=0,0,P241/P$56)</f>
        <v>7.3228395524992079E-2</v>
      </c>
      <c r="R241" s="120"/>
      <c r="S241" s="110"/>
      <c r="T241" s="110"/>
    </row>
    <row r="242" spans="1:20" s="65" customFormat="1" outlineLevel="1">
      <c r="A242" s="140" t="s">
        <v>301</v>
      </c>
      <c r="B242" s="140" t="s">
        <v>301</v>
      </c>
      <c r="C242" s="105"/>
      <c r="D242" s="110"/>
      <c r="E242" s="110"/>
      <c r="F242" s="108"/>
      <c r="G242" s="110"/>
      <c r="H242" s="110"/>
      <c r="I242" s="110"/>
      <c r="J242" s="142"/>
      <c r="K242" s="142"/>
      <c r="L242" s="142"/>
      <c r="M242" s="142"/>
      <c r="N242" s="142"/>
      <c r="O242" s="168"/>
      <c r="P242" s="142"/>
      <c r="Q242" s="163"/>
      <c r="R242" s="120"/>
      <c r="S242" s="110"/>
      <c r="T242" s="110"/>
    </row>
    <row r="243" spans="1:20" outlineLevel="1">
      <c r="A243" s="105"/>
      <c r="B243" s="106" t="s">
        <v>428</v>
      </c>
      <c r="C243" s="105"/>
      <c r="D243" s="107"/>
      <c r="E243" s="107"/>
      <c r="F243" s="108"/>
      <c r="G243" s="109"/>
      <c r="H243" s="110"/>
      <c r="I243" s="111"/>
      <c r="J243" s="112"/>
      <c r="K243" s="111"/>
      <c r="L243" s="112"/>
      <c r="M243" s="111"/>
      <c r="N243" s="112"/>
      <c r="O243" s="111"/>
      <c r="P243" s="112"/>
      <c r="Q243" s="113"/>
      <c r="R243" s="114"/>
      <c r="S243" s="115"/>
      <c r="T243" s="105"/>
    </row>
    <row r="244" spans="1:20" s="65" customFormat="1" ht="5.0999999999999996" customHeight="1" outlineLevel="1">
      <c r="A244" s="140" t="s">
        <v>301</v>
      </c>
      <c r="B244" s="140" t="s">
        <v>301</v>
      </c>
      <c r="C244" s="105"/>
      <c r="D244" s="108"/>
      <c r="E244" s="108"/>
      <c r="F244" s="108"/>
      <c r="G244" s="108"/>
      <c r="H244" s="110"/>
      <c r="I244" s="110"/>
      <c r="J244" s="143"/>
      <c r="K244" s="142"/>
      <c r="L244" s="143"/>
      <c r="M244" s="142"/>
      <c r="N244" s="143"/>
      <c r="O244" s="168"/>
      <c r="P244" s="143"/>
      <c r="Q244" s="163"/>
      <c r="R244" s="120"/>
      <c r="S244" s="110"/>
      <c r="T244" s="110"/>
    </row>
    <row r="245" spans="1:20" s="65" customFormat="1">
      <c r="A245" s="140" t="s">
        <v>428</v>
      </c>
      <c r="B245" s="140" t="s">
        <v>301</v>
      </c>
      <c r="C245" s="105"/>
      <c r="D245" s="110"/>
      <c r="E245" s="110"/>
      <c r="F245" s="107" t="s">
        <v>429</v>
      </c>
      <c r="G245" s="110"/>
      <c r="H245" s="110"/>
      <c r="I245" s="110"/>
      <c r="J245" s="141">
        <f>SUM(J243:J244)</f>
        <v>0</v>
      </c>
      <c r="K245" s="142"/>
      <c r="L245" s="141">
        <f>SUM(L243:L244)</f>
        <v>0</v>
      </c>
      <c r="M245" s="142"/>
      <c r="N245" s="141">
        <f>SUM(N243:N244)</f>
        <v>0</v>
      </c>
      <c r="O245" s="169">
        <f>IF(N$50=0,0,N245/N$50)</f>
        <v>0</v>
      </c>
      <c r="P245" s="141">
        <f>SUM(P243:P244)</f>
        <v>0</v>
      </c>
      <c r="Q245" s="113">
        <f>IF(P$56=0,0,P245/P$56)</f>
        <v>0</v>
      </c>
      <c r="R245" s="120"/>
      <c r="S245" s="110"/>
      <c r="T245" s="110"/>
    </row>
    <row r="246" spans="1:20" s="65" customFormat="1" outlineLevel="1">
      <c r="A246" s="140" t="s">
        <v>301</v>
      </c>
      <c r="B246" s="140" t="s">
        <v>301</v>
      </c>
      <c r="C246" s="105"/>
      <c r="D246" s="110"/>
      <c r="E246" s="110"/>
      <c r="F246" s="110"/>
      <c r="G246" s="110"/>
      <c r="H246" s="110"/>
      <c r="I246" s="110"/>
      <c r="J246" s="142"/>
      <c r="K246" s="142"/>
      <c r="L246" s="142"/>
      <c r="M246" s="142"/>
      <c r="N246" s="142"/>
      <c r="O246" s="142"/>
      <c r="P246" s="142"/>
      <c r="Q246" s="163"/>
      <c r="R246" s="120"/>
      <c r="S246" s="110"/>
      <c r="T246" s="110"/>
    </row>
    <row r="247" spans="1:20" outlineLevel="1">
      <c r="A247" s="105"/>
      <c r="B247" s="106" t="s">
        <v>430</v>
      </c>
      <c r="C247" s="105"/>
      <c r="D247" s="107">
        <v>70269</v>
      </c>
      <c r="E247" s="107" t="s">
        <v>431</v>
      </c>
      <c r="F247" s="108"/>
      <c r="G247" s="109"/>
      <c r="H247" s="110"/>
      <c r="I247" s="111"/>
      <c r="J247" s="112">
        <v>651.71</v>
      </c>
      <c r="K247" s="111"/>
      <c r="L247" s="112">
        <v>651.71</v>
      </c>
      <c r="M247" s="111"/>
      <c r="N247" s="112">
        <v>651.71</v>
      </c>
      <c r="O247" s="111"/>
      <c r="P247" s="112">
        <v>1955.13</v>
      </c>
      <c r="Q247" s="113">
        <f>IF(P$56=0,0,P247/P$56)</f>
        <v>2.7354586391736511E-3</v>
      </c>
      <c r="R247" s="114"/>
      <c r="S247" s="115"/>
      <c r="T247" s="105"/>
    </row>
    <row r="248" spans="1:20" s="65" customFormat="1" ht="5.0999999999999996" customHeight="1" outlineLevel="1">
      <c r="A248" s="140" t="s">
        <v>301</v>
      </c>
      <c r="B248" s="138" t="s">
        <v>301</v>
      </c>
      <c r="C248" s="170"/>
      <c r="D248" s="108"/>
      <c r="E248" s="108"/>
      <c r="F248" s="108"/>
      <c r="G248" s="108"/>
      <c r="H248" s="110"/>
      <c r="I248" s="110"/>
      <c r="J248" s="143"/>
      <c r="K248" s="142"/>
      <c r="L248" s="143"/>
      <c r="M248" s="142"/>
      <c r="N248" s="143"/>
      <c r="O248" s="142"/>
      <c r="P248" s="143"/>
      <c r="Q248" s="163"/>
      <c r="R248" s="120"/>
      <c r="S248" s="110"/>
      <c r="T248" s="110"/>
    </row>
    <row r="249" spans="1:20" s="65" customFormat="1">
      <c r="A249" s="140" t="s">
        <v>430</v>
      </c>
      <c r="B249" s="138" t="s">
        <v>301</v>
      </c>
      <c r="C249" s="170"/>
      <c r="D249" s="110"/>
      <c r="E249" s="110"/>
      <c r="F249" s="108" t="s">
        <v>432</v>
      </c>
      <c r="G249" s="110"/>
      <c r="H249" s="110"/>
      <c r="I249" s="110"/>
      <c r="J249" s="141">
        <f>SUM(J247:J248)</f>
        <v>651.71</v>
      </c>
      <c r="K249" s="142"/>
      <c r="L249" s="141">
        <f>SUM(L247:L248)</f>
        <v>651.71</v>
      </c>
      <c r="M249" s="142"/>
      <c r="N249" s="141">
        <f>SUM(N247:N248)</f>
        <v>651.71</v>
      </c>
      <c r="O249" s="169">
        <f>IF(N$50=0,0,N249/N$50)</f>
        <v>0</v>
      </c>
      <c r="P249" s="141">
        <f>SUM(P247:P248)</f>
        <v>1955.13</v>
      </c>
      <c r="Q249" s="113">
        <f>IF(P$56=0,0,P249/P$56)</f>
        <v>2.7354586391736511E-3</v>
      </c>
      <c r="R249" s="120"/>
      <c r="S249" s="110"/>
      <c r="T249" s="110"/>
    </row>
    <row r="250" spans="1:20" s="65" customFormat="1" ht="6.75" customHeight="1">
      <c r="A250" s="138" t="s">
        <v>301</v>
      </c>
      <c r="B250" s="138" t="s">
        <v>301</v>
      </c>
      <c r="C250" s="170"/>
      <c r="D250" s="110"/>
      <c r="E250" s="110"/>
      <c r="F250" s="110"/>
      <c r="G250" s="110"/>
      <c r="H250" s="110"/>
      <c r="I250" s="110"/>
      <c r="J250" s="142"/>
      <c r="K250" s="142"/>
      <c r="L250" s="142"/>
      <c r="M250" s="142"/>
      <c r="N250" s="142"/>
      <c r="O250" s="142"/>
      <c r="P250" s="142"/>
      <c r="Q250" s="163"/>
      <c r="R250" s="120"/>
      <c r="S250" s="110"/>
      <c r="T250" s="110"/>
    </row>
    <row r="251" spans="1:20" s="65" customFormat="1">
      <c r="A251" s="138" t="s">
        <v>301</v>
      </c>
      <c r="B251" s="138" t="s">
        <v>301</v>
      </c>
      <c r="C251" s="170"/>
      <c r="D251" s="110"/>
      <c r="E251" s="145" t="s">
        <v>433</v>
      </c>
      <c r="F251" s="110"/>
      <c r="G251" s="110"/>
      <c r="H251" s="110"/>
      <c r="I251" s="110"/>
      <c r="J251" s="146">
        <f>+J241+J245+J249</f>
        <v>16578.29</v>
      </c>
      <c r="K251" s="142"/>
      <c r="L251" s="146">
        <f>+L241+L245+L249</f>
        <v>18707.91</v>
      </c>
      <c r="M251" s="142"/>
      <c r="N251" s="146">
        <f>+N241+N245+N249</f>
        <v>19007.879999999997</v>
      </c>
      <c r="O251" s="169">
        <f>IF(N$50=0,0,N251/N$50)</f>
        <v>0</v>
      </c>
      <c r="P251" s="146">
        <f>+P241+P245+P249</f>
        <v>54294.079999999994</v>
      </c>
      <c r="Q251" s="113">
        <f>IF(P$56=0,0,P251/P$56)</f>
        <v>7.596385416416572E-2</v>
      </c>
      <c r="R251" s="120"/>
      <c r="S251" s="110"/>
      <c r="T251" s="110"/>
    </row>
    <row r="252" spans="1:20" s="65" customFormat="1" ht="6.75" customHeight="1">
      <c r="A252" s="138" t="s">
        <v>301</v>
      </c>
      <c r="B252" s="138" t="s">
        <v>301</v>
      </c>
      <c r="C252" s="170"/>
      <c r="D252" s="110"/>
      <c r="E252" s="110"/>
      <c r="F252" s="110"/>
      <c r="G252" s="110"/>
      <c r="H252" s="110"/>
      <c r="I252" s="110"/>
      <c r="J252" s="142"/>
      <c r="K252" s="142"/>
      <c r="L252" s="142"/>
      <c r="M252" s="142"/>
      <c r="N252" s="142"/>
      <c r="O252" s="142"/>
      <c r="P252" s="142"/>
      <c r="Q252" s="163"/>
      <c r="R252" s="120"/>
      <c r="S252" s="110"/>
      <c r="T252" s="110"/>
    </row>
    <row r="253" spans="1:20" s="65" customFormat="1">
      <c r="A253" s="138" t="s">
        <v>301</v>
      </c>
      <c r="B253" s="138" t="s">
        <v>301</v>
      </c>
      <c r="C253" s="170"/>
      <c r="D253" s="110"/>
      <c r="E253" s="150" t="s">
        <v>434</v>
      </c>
      <c r="F253" s="110"/>
      <c r="G253" s="110"/>
      <c r="H253" s="110"/>
      <c r="I253" s="110"/>
      <c r="J253" s="146">
        <f>+J232-J251</f>
        <v>-5858.480000000025</v>
      </c>
      <c r="K253" s="142"/>
      <c r="L253" s="146">
        <f>+L232-L251</f>
        <v>-1269.0399999999754</v>
      </c>
      <c r="M253" s="142"/>
      <c r="N253" s="146">
        <f>+N232-N251</f>
        <v>-9134.3799999999901</v>
      </c>
      <c r="O253" s="169">
        <f>IF(N$50=0,0,N253/N$50)</f>
        <v>0</v>
      </c>
      <c r="P253" s="146">
        <f>+P232-P251</f>
        <v>-16261.899999999943</v>
      </c>
      <c r="Q253" s="113">
        <f>IF(P$56=0,0,P253/P$56)</f>
        <v>-2.2752325852694114E-2</v>
      </c>
      <c r="R253" s="120"/>
      <c r="S253" s="110"/>
      <c r="T253" s="110"/>
    </row>
    <row r="254" spans="1:20" s="65" customFormat="1" ht="6.75" customHeight="1">
      <c r="A254" s="138" t="s">
        <v>301</v>
      </c>
      <c r="B254" s="138" t="s">
        <v>301</v>
      </c>
      <c r="C254" s="170"/>
      <c r="D254" s="110"/>
      <c r="E254" s="110"/>
      <c r="F254" s="110"/>
      <c r="G254" s="110"/>
      <c r="H254" s="110"/>
      <c r="I254" s="110"/>
      <c r="J254" s="142"/>
      <c r="K254" s="142"/>
      <c r="L254" s="142"/>
      <c r="M254" s="142"/>
      <c r="N254" s="142"/>
      <c r="O254" s="142"/>
      <c r="P254" s="142"/>
      <c r="Q254" s="163"/>
      <c r="R254" s="120"/>
      <c r="S254" s="110"/>
      <c r="T254" s="110"/>
    </row>
    <row r="255" spans="1:20" outlineLevel="1">
      <c r="A255" s="105"/>
      <c r="B255" s="106" t="s">
        <v>435</v>
      </c>
      <c r="C255" s="105"/>
      <c r="D255" s="107"/>
      <c r="E255" s="107"/>
      <c r="F255" s="108"/>
      <c r="G255" s="109"/>
      <c r="H255" s="110"/>
      <c r="I255" s="111"/>
      <c r="J255" s="112"/>
      <c r="K255" s="111"/>
      <c r="L255" s="112"/>
      <c r="M255" s="111"/>
      <c r="N255" s="112"/>
      <c r="O255" s="111"/>
      <c r="P255" s="112"/>
      <c r="Q255" s="113"/>
      <c r="R255" s="114"/>
      <c r="S255" s="115"/>
      <c r="T255" s="105"/>
    </row>
    <row r="256" spans="1:20" s="65" customFormat="1" ht="5.0999999999999996" customHeight="1" outlineLevel="1">
      <c r="A256" s="138" t="s">
        <v>301</v>
      </c>
      <c r="B256" s="138" t="s">
        <v>301</v>
      </c>
      <c r="C256" s="170"/>
      <c r="D256" s="108"/>
      <c r="E256" s="108"/>
      <c r="F256" s="108"/>
      <c r="G256" s="108"/>
      <c r="H256" s="110"/>
      <c r="I256" s="110"/>
      <c r="J256" s="143"/>
      <c r="K256" s="142"/>
      <c r="L256" s="143"/>
      <c r="M256" s="142"/>
      <c r="N256" s="143"/>
      <c r="O256" s="142"/>
      <c r="P256" s="143"/>
      <c r="Q256" s="163"/>
      <c r="R256" s="120"/>
      <c r="S256" s="110"/>
      <c r="T256" s="110"/>
    </row>
    <row r="257" spans="1:20" s="65" customFormat="1">
      <c r="A257" s="140" t="s">
        <v>435</v>
      </c>
      <c r="B257" s="138" t="s">
        <v>301</v>
      </c>
      <c r="C257" s="170"/>
      <c r="D257" s="110"/>
      <c r="E257" s="110"/>
      <c r="F257" s="108" t="s">
        <v>436</v>
      </c>
      <c r="G257" s="110"/>
      <c r="H257" s="110"/>
      <c r="I257" s="110"/>
      <c r="J257" s="141">
        <f>SUM(J255:J256)</f>
        <v>0</v>
      </c>
      <c r="K257" s="142"/>
      <c r="L257" s="141">
        <f>SUM(L255:L256)</f>
        <v>0</v>
      </c>
      <c r="M257" s="142"/>
      <c r="N257" s="141">
        <f>SUM(N255:N256)</f>
        <v>0</v>
      </c>
      <c r="O257" s="169">
        <f>IF(N$50=0,0,N257/N$50)</f>
        <v>0</v>
      </c>
      <c r="P257" s="141">
        <f>SUM(P255:P256)</f>
        <v>0</v>
      </c>
      <c r="Q257" s="113">
        <f>IF(P$56=0,0,P257/P$56)</f>
        <v>0</v>
      </c>
      <c r="R257" s="120"/>
      <c r="S257" s="110"/>
      <c r="T257" s="110"/>
    </row>
    <row r="258" spans="1:20" s="65" customFormat="1" outlineLevel="1">
      <c r="A258" s="138" t="s">
        <v>301</v>
      </c>
      <c r="B258" s="138" t="s">
        <v>301</v>
      </c>
      <c r="C258" s="170"/>
      <c r="D258" s="110"/>
      <c r="E258" s="110"/>
      <c r="F258" s="110"/>
      <c r="G258" s="110"/>
      <c r="H258" s="110"/>
      <c r="I258" s="110"/>
      <c r="J258" s="142"/>
      <c r="K258" s="142"/>
      <c r="L258" s="142"/>
      <c r="M258" s="142"/>
      <c r="N258" s="142"/>
      <c r="O258" s="142"/>
      <c r="P258" s="142"/>
      <c r="Q258" s="163"/>
      <c r="R258" s="120"/>
      <c r="S258" s="110"/>
      <c r="T258" s="110"/>
    </row>
    <row r="259" spans="1:20" outlineLevel="1">
      <c r="A259" s="105"/>
      <c r="B259" s="106" t="s">
        <v>437</v>
      </c>
      <c r="C259" s="105"/>
      <c r="D259" s="107"/>
      <c r="E259" s="107"/>
      <c r="F259" s="108"/>
      <c r="G259" s="109"/>
      <c r="H259" s="110"/>
      <c r="I259" s="111"/>
      <c r="J259" s="112"/>
      <c r="K259" s="111"/>
      <c r="L259" s="112"/>
      <c r="M259" s="111"/>
      <c r="N259" s="112"/>
      <c r="O259" s="111"/>
      <c r="P259" s="112"/>
      <c r="Q259" s="113"/>
      <c r="R259" s="114"/>
      <c r="S259" s="115"/>
      <c r="T259" s="105"/>
    </row>
    <row r="260" spans="1:20" s="65" customFormat="1" ht="5.0999999999999996" customHeight="1" outlineLevel="1">
      <c r="A260" s="138" t="s">
        <v>301</v>
      </c>
      <c r="B260" s="138" t="s">
        <v>301</v>
      </c>
      <c r="C260" s="170"/>
      <c r="D260" s="108"/>
      <c r="E260" s="108"/>
      <c r="F260" s="108"/>
      <c r="G260" s="108"/>
      <c r="H260" s="110"/>
      <c r="I260" s="110"/>
      <c r="J260" s="143"/>
      <c r="K260" s="142"/>
      <c r="L260" s="143"/>
      <c r="M260" s="142"/>
      <c r="N260" s="143"/>
      <c r="O260" s="142"/>
      <c r="P260" s="143"/>
      <c r="Q260" s="163"/>
      <c r="R260" s="120"/>
      <c r="S260" s="110"/>
      <c r="T260" s="110"/>
    </row>
    <row r="261" spans="1:20" s="65" customFormat="1">
      <c r="A261" s="140" t="s">
        <v>437</v>
      </c>
      <c r="B261" s="138" t="s">
        <v>301</v>
      </c>
      <c r="C261" s="170"/>
      <c r="D261" s="110"/>
      <c r="E261" s="110"/>
      <c r="F261" s="107" t="s">
        <v>438</v>
      </c>
      <c r="G261" s="110"/>
      <c r="H261" s="110"/>
      <c r="I261" s="110"/>
      <c r="J261" s="141">
        <f>SUM(J259:J260)</f>
        <v>0</v>
      </c>
      <c r="K261" s="142"/>
      <c r="L261" s="141">
        <f>SUM(L259:L260)</f>
        <v>0</v>
      </c>
      <c r="M261" s="142"/>
      <c r="N261" s="141">
        <f>SUM(N259:N260)</f>
        <v>0</v>
      </c>
      <c r="O261" s="169">
        <f>IF(N$50=0,0,N261/N$50)</f>
        <v>0</v>
      </c>
      <c r="P261" s="141">
        <f>SUM(P259:P260)</f>
        <v>0</v>
      </c>
      <c r="Q261" s="113">
        <f>IF(P$56=0,0,P261/P$56)</f>
        <v>0</v>
      </c>
      <c r="R261" s="120"/>
      <c r="S261" s="110"/>
      <c r="T261" s="110"/>
    </row>
    <row r="262" spans="1:20" s="65" customFormat="1" outlineLevel="1">
      <c r="A262" s="138" t="s">
        <v>301</v>
      </c>
      <c r="B262" s="138" t="s">
        <v>301</v>
      </c>
      <c r="C262" s="170"/>
      <c r="D262" s="110"/>
      <c r="E262" s="110"/>
      <c r="F262" s="110"/>
      <c r="G262" s="110"/>
      <c r="H262" s="110"/>
      <c r="I262" s="110"/>
      <c r="J262" s="142"/>
      <c r="K262" s="142"/>
      <c r="L262" s="142"/>
      <c r="M262" s="142"/>
      <c r="N262" s="142"/>
      <c r="O262" s="142"/>
      <c r="P262" s="142"/>
      <c r="Q262" s="163"/>
      <c r="R262" s="120"/>
      <c r="S262" s="110"/>
      <c r="T262" s="110"/>
    </row>
    <row r="263" spans="1:20" outlineLevel="1">
      <c r="A263" s="105"/>
      <c r="B263" s="106" t="s">
        <v>439</v>
      </c>
      <c r="C263" s="105"/>
      <c r="D263" s="107"/>
      <c r="E263" s="107"/>
      <c r="F263" s="108"/>
      <c r="G263" s="109"/>
      <c r="H263" s="110"/>
      <c r="I263" s="111"/>
      <c r="J263" s="112"/>
      <c r="K263" s="111"/>
      <c r="L263" s="112"/>
      <c r="M263" s="111"/>
      <c r="N263" s="112"/>
      <c r="O263" s="111"/>
      <c r="P263" s="112"/>
      <c r="Q263" s="113"/>
      <c r="R263" s="114"/>
      <c r="S263" s="115"/>
      <c r="T263" s="105"/>
    </row>
    <row r="264" spans="1:20" s="65" customFormat="1" ht="5.0999999999999996" customHeight="1" outlineLevel="1">
      <c r="A264" s="138" t="s">
        <v>301</v>
      </c>
      <c r="B264" s="138" t="s">
        <v>301</v>
      </c>
      <c r="C264" s="170"/>
      <c r="D264" s="108"/>
      <c r="E264" s="108"/>
      <c r="F264" s="108"/>
      <c r="G264" s="108"/>
      <c r="H264" s="110"/>
      <c r="I264" s="110"/>
      <c r="J264" s="143"/>
      <c r="K264" s="142"/>
      <c r="L264" s="143"/>
      <c r="M264" s="142"/>
      <c r="N264" s="143"/>
      <c r="O264" s="142"/>
      <c r="P264" s="143"/>
      <c r="Q264" s="163"/>
      <c r="R264" s="120"/>
      <c r="S264" s="110"/>
      <c r="T264" s="110"/>
    </row>
    <row r="265" spans="1:20" s="65" customFormat="1">
      <c r="A265" s="140" t="s">
        <v>439</v>
      </c>
      <c r="B265" s="138" t="s">
        <v>301</v>
      </c>
      <c r="C265" s="170"/>
      <c r="D265" s="110"/>
      <c r="E265" s="110"/>
      <c r="F265" s="108" t="s">
        <v>440</v>
      </c>
      <c r="G265" s="110"/>
      <c r="H265" s="110"/>
      <c r="I265" s="110"/>
      <c r="J265" s="141">
        <f>SUM(J263:J264)</f>
        <v>0</v>
      </c>
      <c r="K265" s="142"/>
      <c r="L265" s="141">
        <f>SUM(L263:L264)</f>
        <v>0</v>
      </c>
      <c r="M265" s="142"/>
      <c r="N265" s="141">
        <f>SUM(N263:N264)</f>
        <v>0</v>
      </c>
      <c r="O265" s="169">
        <f>IF(N$50=0,0,N265/N$50)</f>
        <v>0</v>
      </c>
      <c r="P265" s="141">
        <f>SUM(P263:P264)</f>
        <v>0</v>
      </c>
      <c r="Q265" s="113">
        <f>IF(P$56=0,0,P265/P$56)</f>
        <v>0</v>
      </c>
      <c r="R265" s="120"/>
      <c r="S265" s="110"/>
      <c r="T265" s="110"/>
    </row>
    <row r="266" spans="1:20" s="65" customFormat="1" ht="6.75" customHeight="1">
      <c r="A266" s="138" t="s">
        <v>301</v>
      </c>
      <c r="B266" s="140" t="s">
        <v>301</v>
      </c>
      <c r="C266" s="105"/>
      <c r="D266" s="110"/>
      <c r="E266" s="110"/>
      <c r="F266" s="110"/>
      <c r="G266" s="110"/>
      <c r="H266" s="110"/>
      <c r="I266" s="110"/>
      <c r="J266" s="142"/>
      <c r="K266" s="142"/>
      <c r="L266" s="142"/>
      <c r="M266" s="142"/>
      <c r="N266" s="142"/>
      <c r="O266" s="142"/>
      <c r="P266" s="142"/>
      <c r="Q266" s="163"/>
      <c r="R266" s="120"/>
      <c r="S266" s="110"/>
      <c r="T266" s="110"/>
    </row>
    <row r="267" spans="1:20" s="65" customFormat="1">
      <c r="A267" s="138" t="s">
        <v>301</v>
      </c>
      <c r="B267" s="140" t="s">
        <v>301</v>
      </c>
      <c r="C267" s="105"/>
      <c r="D267" s="110"/>
      <c r="E267" s="145" t="s">
        <v>441</v>
      </c>
      <c r="F267" s="110"/>
      <c r="G267" s="110"/>
      <c r="H267" s="110"/>
      <c r="I267" s="110"/>
      <c r="J267" s="146">
        <f>+J253-J257-J261-J265</f>
        <v>-5858.480000000025</v>
      </c>
      <c r="K267" s="142"/>
      <c r="L267" s="146">
        <f>+L253-L257-L261-L265</f>
        <v>-1269.0399999999754</v>
      </c>
      <c r="M267" s="142"/>
      <c r="N267" s="146">
        <f>+N253-N257-N261-N265</f>
        <v>-9134.3799999999901</v>
      </c>
      <c r="O267" s="169">
        <f>IF(N$50=0,0,N267/N$50)</f>
        <v>0</v>
      </c>
      <c r="P267" s="146">
        <f>+P253-P257-P261-P265</f>
        <v>-16261.899999999943</v>
      </c>
      <c r="Q267" s="113">
        <f>IF(P$56=0,0,P267/P$56)</f>
        <v>-2.2752325852694114E-2</v>
      </c>
      <c r="R267" s="120"/>
      <c r="S267" s="110"/>
      <c r="T267" s="110"/>
    </row>
    <row r="268" spans="1:20" s="65" customFormat="1" ht="6.75" customHeight="1">
      <c r="A268" s="140" t="s">
        <v>301</v>
      </c>
      <c r="B268" s="140" t="s">
        <v>301</v>
      </c>
      <c r="C268" s="105"/>
      <c r="D268" s="110"/>
      <c r="E268" s="110"/>
      <c r="F268" s="110"/>
      <c r="G268" s="110"/>
      <c r="H268" s="110"/>
      <c r="I268" s="110"/>
      <c r="J268" s="142"/>
      <c r="K268" s="142"/>
      <c r="L268" s="142"/>
      <c r="M268" s="142"/>
      <c r="N268" s="142"/>
      <c r="O268" s="142"/>
      <c r="P268" s="142"/>
      <c r="Q268" s="163"/>
      <c r="R268" s="120"/>
      <c r="S268" s="110"/>
      <c r="T268" s="110"/>
    </row>
    <row r="269" spans="1:20" s="66" customFormat="1" outlineLevel="1">
      <c r="A269" s="140"/>
      <c r="B269" s="171" t="s">
        <v>442</v>
      </c>
      <c r="C269" s="151"/>
      <c r="D269" s="151"/>
      <c r="E269" s="151"/>
      <c r="F269" s="151"/>
      <c r="G269" s="151"/>
      <c r="H269" s="151"/>
      <c r="I269" s="151"/>
      <c r="J269" s="151"/>
      <c r="K269" s="151"/>
      <c r="L269" s="151"/>
      <c r="M269" s="151"/>
      <c r="N269" s="151"/>
      <c r="O269" s="151"/>
      <c r="P269" s="151"/>
      <c r="Q269" s="153"/>
      <c r="R269" s="151"/>
      <c r="S269" s="151"/>
      <c r="T269" s="151"/>
    </row>
    <row r="270" spans="1:20" s="65" customFormat="1" ht="5.0999999999999996" customHeight="1" outlineLevel="1">
      <c r="A270" s="140" t="s">
        <v>301</v>
      </c>
      <c r="B270" s="138" t="s">
        <v>301</v>
      </c>
      <c r="C270" s="170"/>
      <c r="D270" s="108"/>
      <c r="E270" s="108"/>
      <c r="F270" s="108"/>
      <c r="G270" s="108"/>
      <c r="H270" s="110"/>
      <c r="I270" s="110"/>
      <c r="J270" s="143"/>
      <c r="K270" s="142"/>
      <c r="L270" s="143"/>
      <c r="M270" s="142"/>
      <c r="N270" s="143"/>
      <c r="O270" s="142"/>
      <c r="P270" s="143"/>
      <c r="Q270" s="163"/>
      <c r="R270" s="120"/>
      <c r="S270" s="110"/>
      <c r="T270" s="110"/>
    </row>
    <row r="271" spans="1:20" s="65" customFormat="1">
      <c r="A271" s="172" t="s">
        <v>442</v>
      </c>
      <c r="B271" s="138" t="s">
        <v>301</v>
      </c>
      <c r="C271" s="170"/>
      <c r="D271" s="110"/>
      <c r="E271" s="110"/>
      <c r="F271" s="107" t="s">
        <v>443</v>
      </c>
      <c r="G271" s="110"/>
      <c r="H271" s="110"/>
      <c r="I271" s="110"/>
      <c r="J271" s="141">
        <f>SUM(J269:J270)</f>
        <v>0</v>
      </c>
      <c r="K271" s="142"/>
      <c r="L271" s="141">
        <f>SUM(L269:L270)</f>
        <v>0</v>
      </c>
      <c r="M271" s="142"/>
      <c r="N271" s="141">
        <f>SUM(N269:N270)</f>
        <v>0</v>
      </c>
      <c r="O271" s="169">
        <f>IF(N$50=0,0,N271/N$50)</f>
        <v>0</v>
      </c>
      <c r="P271" s="141">
        <f>SUM(P269:P270)</f>
        <v>0</v>
      </c>
      <c r="Q271" s="113">
        <f>IF(P$56=0,0,P271/P$56)</f>
        <v>0</v>
      </c>
      <c r="R271" s="120"/>
      <c r="S271" s="110"/>
      <c r="T271" s="110"/>
    </row>
    <row r="272" spans="1:20" s="65" customFormat="1" ht="6.75" customHeight="1">
      <c r="A272" s="138" t="s">
        <v>301</v>
      </c>
      <c r="B272" s="140" t="s">
        <v>301</v>
      </c>
      <c r="C272" s="105"/>
      <c r="D272" s="110"/>
      <c r="E272" s="110"/>
      <c r="F272" s="110"/>
      <c r="G272" s="110"/>
      <c r="H272" s="110"/>
      <c r="I272" s="110"/>
      <c r="J272" s="142"/>
      <c r="K272" s="142"/>
      <c r="L272" s="142"/>
      <c r="M272" s="142"/>
      <c r="N272" s="142"/>
      <c r="O272" s="142"/>
      <c r="P272" s="142"/>
      <c r="Q272" s="163"/>
      <c r="R272" s="120"/>
      <c r="S272" s="110"/>
      <c r="T272" s="110"/>
    </row>
    <row r="273" spans="1:20" s="65" customFormat="1">
      <c r="A273" s="138" t="s">
        <v>301</v>
      </c>
      <c r="B273" s="138" t="s">
        <v>301</v>
      </c>
      <c r="C273" s="170"/>
      <c r="D273" s="110"/>
      <c r="E273" s="145" t="s">
        <v>444</v>
      </c>
      <c r="F273" s="110"/>
      <c r="G273" s="110"/>
      <c r="H273" s="110"/>
      <c r="I273" s="110"/>
      <c r="J273" s="146">
        <f>+J267-J271</f>
        <v>-5858.480000000025</v>
      </c>
      <c r="K273" s="142"/>
      <c r="L273" s="146">
        <f>+L267-L271</f>
        <v>-1269.0399999999754</v>
      </c>
      <c r="M273" s="142"/>
      <c r="N273" s="146">
        <f>+N267-N271</f>
        <v>-9134.3799999999901</v>
      </c>
      <c r="O273" s="169">
        <f>IF(N$50=0,0,N273/N$50)</f>
        <v>0</v>
      </c>
      <c r="P273" s="146">
        <f>+P267-P271</f>
        <v>-16261.899999999943</v>
      </c>
      <c r="Q273" s="113">
        <f>IF(P$56=0,0,P273/P$56)</f>
        <v>-2.2752325852694114E-2</v>
      </c>
      <c r="R273" s="120"/>
      <c r="S273" s="110"/>
      <c r="T273" s="110"/>
    </row>
    <row r="274" spans="1:20" ht="6.75" customHeight="1">
      <c r="A274" s="140" t="s">
        <v>301</v>
      </c>
      <c r="B274" s="140" t="s">
        <v>301</v>
      </c>
      <c r="C274" s="105"/>
      <c r="D274" s="105"/>
      <c r="E274" s="105"/>
      <c r="F274" s="105"/>
      <c r="G274" s="105"/>
      <c r="H274" s="105"/>
      <c r="I274" s="105"/>
      <c r="J274" s="173"/>
      <c r="K274" s="173"/>
      <c r="L274" s="173"/>
      <c r="M274" s="173"/>
      <c r="N274" s="173"/>
      <c r="O274" s="142"/>
      <c r="P274" s="173"/>
      <c r="Q274" s="163"/>
      <c r="R274" s="120"/>
      <c r="S274" s="105"/>
      <c r="T274" s="105"/>
    </row>
    <row r="275" spans="1:20" outlineLevel="1">
      <c r="A275" s="138"/>
      <c r="B275" s="174" t="s">
        <v>445</v>
      </c>
      <c r="C275" s="105"/>
      <c r="D275" s="107"/>
      <c r="E275" s="107"/>
      <c r="F275" s="108"/>
      <c r="G275" s="109"/>
      <c r="H275" s="110"/>
      <c r="I275" s="111"/>
      <c r="J275" s="112"/>
      <c r="K275" s="111"/>
      <c r="L275" s="112"/>
      <c r="M275" s="111"/>
      <c r="N275" s="112"/>
      <c r="O275" s="111"/>
      <c r="P275" s="112"/>
      <c r="Q275" s="113"/>
      <c r="R275" s="114"/>
      <c r="S275" s="115"/>
      <c r="T275" s="105"/>
    </row>
    <row r="276" spans="1:20" s="65" customFormat="1" ht="5.0999999999999996" customHeight="1" outlineLevel="1">
      <c r="A276" s="140" t="s">
        <v>301</v>
      </c>
      <c r="B276" s="138" t="s">
        <v>301</v>
      </c>
      <c r="C276" s="170"/>
      <c r="D276" s="108"/>
      <c r="E276" s="108"/>
      <c r="F276" s="108"/>
      <c r="G276" s="108"/>
      <c r="H276" s="110"/>
      <c r="I276" s="110"/>
      <c r="J276" s="143"/>
      <c r="K276" s="142"/>
      <c r="L276" s="143"/>
      <c r="M276" s="142"/>
      <c r="N276" s="143"/>
      <c r="O276" s="142"/>
      <c r="P276" s="143"/>
      <c r="Q276" s="163"/>
      <c r="R276" s="120"/>
      <c r="S276" s="110"/>
      <c r="T276" s="110"/>
    </row>
    <row r="277" spans="1:20" s="65" customFormat="1">
      <c r="A277" s="140" t="s">
        <v>445</v>
      </c>
      <c r="B277" s="138"/>
      <c r="C277" s="170"/>
      <c r="D277" s="110"/>
      <c r="E277" s="110"/>
      <c r="F277" s="107" t="s">
        <v>446</v>
      </c>
      <c r="G277" s="110"/>
      <c r="H277" s="110"/>
      <c r="I277" s="110"/>
      <c r="J277" s="141">
        <f>SUM(J275:J276)</f>
        <v>0</v>
      </c>
      <c r="K277" s="142"/>
      <c r="L277" s="141">
        <f>SUM(L275:L276)</f>
        <v>0</v>
      </c>
      <c r="M277" s="142"/>
      <c r="N277" s="141">
        <f>SUM(N275:N276)</f>
        <v>0</v>
      </c>
      <c r="O277" s="169">
        <f>IF(N$50=0,0,N277/N$50)</f>
        <v>0</v>
      </c>
      <c r="P277" s="141">
        <f>SUM(P275:P276)</f>
        <v>0</v>
      </c>
      <c r="Q277" s="113">
        <f>IF(P$56=0,0,P277/P$56)</f>
        <v>0</v>
      </c>
      <c r="R277" s="120"/>
      <c r="S277" s="110"/>
      <c r="T277" s="110"/>
    </row>
    <row r="278" spans="1:20" s="65" customFormat="1" ht="6.75" customHeight="1">
      <c r="A278" s="138" t="s">
        <v>301</v>
      </c>
      <c r="B278" s="138"/>
      <c r="C278" s="170"/>
      <c r="D278" s="110"/>
      <c r="E278" s="110"/>
      <c r="F278" s="110"/>
      <c r="G278" s="110"/>
      <c r="H278" s="110"/>
      <c r="I278" s="110"/>
      <c r="J278" s="142"/>
      <c r="K278" s="142"/>
      <c r="L278" s="142"/>
      <c r="M278" s="142"/>
      <c r="N278" s="142"/>
      <c r="O278" s="142"/>
      <c r="P278" s="142"/>
      <c r="Q278" s="163"/>
      <c r="R278" s="120"/>
      <c r="S278" s="110"/>
      <c r="T278" s="110"/>
    </row>
    <row r="279" spans="1:20" s="65" customFormat="1">
      <c r="A279" s="138"/>
      <c r="B279" s="140"/>
      <c r="C279" s="105"/>
      <c r="D279" s="110"/>
      <c r="E279" s="145" t="s">
        <v>447</v>
      </c>
      <c r="F279" s="110"/>
      <c r="G279" s="110"/>
      <c r="H279" s="110"/>
      <c r="I279" s="110"/>
      <c r="J279" s="146">
        <f>+J273-J277</f>
        <v>-5858.480000000025</v>
      </c>
      <c r="K279" s="142"/>
      <c r="L279" s="146">
        <f>+L273-L277</f>
        <v>-1269.0399999999754</v>
      </c>
      <c r="M279" s="142"/>
      <c r="N279" s="146">
        <f>+N273-N277</f>
        <v>-9134.3799999999901</v>
      </c>
      <c r="O279" s="169">
        <f>IF(N$50=0,0,N279/N$50)</f>
        <v>0</v>
      </c>
      <c r="P279" s="146">
        <f>+P273-P277</f>
        <v>-16261.899999999943</v>
      </c>
      <c r="Q279" s="113">
        <f>IF(P$56=0,0,P279/P$56)</f>
        <v>-2.2752325852694114E-2</v>
      </c>
      <c r="R279" s="120"/>
      <c r="S279" s="110"/>
      <c r="T279" s="110"/>
    </row>
    <row r="280" spans="1:20" s="65" customFormat="1" ht="6.75" customHeight="1">
      <c r="A280" s="138"/>
      <c r="B280" s="138"/>
      <c r="C280" s="170"/>
      <c r="D280" s="110"/>
      <c r="E280" s="110"/>
      <c r="F280" s="110"/>
      <c r="G280" s="110"/>
      <c r="H280" s="110"/>
      <c r="I280" s="110"/>
      <c r="J280" s="142"/>
      <c r="K280" s="142"/>
      <c r="L280" s="142"/>
      <c r="M280" s="142"/>
      <c r="N280" s="142"/>
      <c r="O280" s="142"/>
      <c r="P280" s="142"/>
      <c r="Q280" s="163"/>
      <c r="R280" s="120"/>
      <c r="S280" s="110"/>
      <c r="T280" s="110"/>
    </row>
    <row r="281" spans="1:20" outlineLevel="1">
      <c r="A281" s="105"/>
      <c r="B281" s="106" t="s">
        <v>448</v>
      </c>
      <c r="C281" s="105"/>
      <c r="D281" s="107"/>
      <c r="E281" s="107"/>
      <c r="F281" s="108"/>
      <c r="G281" s="109"/>
      <c r="H281" s="110"/>
      <c r="I281" s="111"/>
      <c r="J281" s="112"/>
      <c r="K281" s="111"/>
      <c r="L281" s="112"/>
      <c r="M281" s="111"/>
      <c r="N281" s="112"/>
      <c r="O281" s="111"/>
      <c r="P281" s="112"/>
      <c r="Q281" s="113"/>
      <c r="R281" s="114"/>
      <c r="S281" s="115"/>
      <c r="T281" s="105"/>
    </row>
    <row r="282" spans="1:20" s="65" customFormat="1" ht="5.0999999999999996" customHeight="1" outlineLevel="1">
      <c r="A282" s="138"/>
      <c r="B282" s="138" t="s">
        <v>301</v>
      </c>
      <c r="C282" s="170"/>
      <c r="D282" s="108"/>
      <c r="E282" s="108"/>
      <c r="F282" s="108"/>
      <c r="G282" s="108"/>
      <c r="H282" s="110"/>
      <c r="I282" s="110"/>
      <c r="J282" s="143"/>
      <c r="K282" s="142"/>
      <c r="L282" s="143"/>
      <c r="M282" s="142"/>
      <c r="N282" s="143"/>
      <c r="O282" s="142"/>
      <c r="P282" s="143"/>
      <c r="Q282" s="163"/>
      <c r="R282" s="120"/>
      <c r="S282" s="110"/>
      <c r="T282" s="110"/>
    </row>
    <row r="283" spans="1:20" s="65" customFormat="1">
      <c r="A283" s="140" t="s">
        <v>448</v>
      </c>
      <c r="B283" s="138" t="s">
        <v>301</v>
      </c>
      <c r="C283" s="170"/>
      <c r="D283" s="110"/>
      <c r="E283" s="110"/>
      <c r="F283" s="107" t="s">
        <v>449</v>
      </c>
      <c r="G283" s="110"/>
      <c r="H283" s="110"/>
      <c r="I283" s="110"/>
      <c r="J283" s="141">
        <f>SUM(J281:J282)</f>
        <v>0</v>
      </c>
      <c r="K283" s="142"/>
      <c r="L283" s="141">
        <f>SUM(L281:L282)</f>
        <v>0</v>
      </c>
      <c r="M283" s="142"/>
      <c r="N283" s="141">
        <f>SUM(N281:N282)</f>
        <v>0</v>
      </c>
      <c r="O283" s="169">
        <f>IF(N$50=0,0,N283/N$50)</f>
        <v>0</v>
      </c>
      <c r="P283" s="141">
        <f>SUM(P281:P282)</f>
        <v>0</v>
      </c>
      <c r="Q283" s="113">
        <f>IF(P$56=0,0,P283/P$56)</f>
        <v>0</v>
      </c>
      <c r="R283" s="120"/>
      <c r="S283" s="110"/>
      <c r="T283" s="110"/>
    </row>
    <row r="284" spans="1:20" s="65" customFormat="1" ht="6.75" customHeight="1">
      <c r="A284" s="138" t="s">
        <v>301</v>
      </c>
      <c r="B284" s="138"/>
      <c r="C284" s="170"/>
      <c r="D284" s="110"/>
      <c r="E284" s="110"/>
      <c r="F284" s="110"/>
      <c r="G284" s="110"/>
      <c r="H284" s="110"/>
      <c r="I284" s="110"/>
      <c r="J284" s="142"/>
      <c r="K284" s="142"/>
      <c r="L284" s="142"/>
      <c r="M284" s="142"/>
      <c r="N284" s="142"/>
      <c r="O284" s="142"/>
      <c r="P284" s="142"/>
      <c r="Q284" s="163"/>
      <c r="R284" s="120"/>
      <c r="S284" s="110"/>
      <c r="T284" s="110"/>
    </row>
    <row r="285" spans="1:20" s="65" customFormat="1" ht="13.5" thickBot="1">
      <c r="A285" s="138" t="s">
        <v>301</v>
      </c>
      <c r="B285" s="140"/>
      <c r="C285" s="105"/>
      <c r="D285" s="110"/>
      <c r="E285" s="145" t="s">
        <v>450</v>
      </c>
      <c r="F285" s="110"/>
      <c r="G285" s="110"/>
      <c r="H285" s="110"/>
      <c r="I285" s="110"/>
      <c r="J285" s="175">
        <f>+J279-J283</f>
        <v>-5858.480000000025</v>
      </c>
      <c r="K285" s="142"/>
      <c r="L285" s="175">
        <f>+L279-L283</f>
        <v>-1269.0399999999754</v>
      </c>
      <c r="M285" s="142"/>
      <c r="N285" s="175">
        <f>+N279-N283</f>
        <v>-9134.3799999999901</v>
      </c>
      <c r="O285" s="169">
        <f>IF(N$50=0,0,N285/N$50)</f>
        <v>0</v>
      </c>
      <c r="P285" s="175">
        <f>+P279-P283</f>
        <v>-16261.899999999943</v>
      </c>
      <c r="Q285" s="113">
        <f>IF(P$56=0,0,P285/P$56)</f>
        <v>-2.2752325852694114E-2</v>
      </c>
      <c r="R285" s="120"/>
      <c r="S285" s="110"/>
      <c r="T285" s="110"/>
    </row>
    <row r="286" spans="1:20" s="77" customFormat="1" ht="13.5" thickTop="1">
      <c r="A286" s="138"/>
      <c r="B286" s="138"/>
      <c r="C286" s="170"/>
      <c r="D286" s="110"/>
      <c r="E286" s="110"/>
      <c r="F286" s="107"/>
      <c r="G286" s="110"/>
      <c r="H286" s="105"/>
      <c r="I286" s="105"/>
      <c r="J286" s="176"/>
      <c r="K286" s="105"/>
      <c r="L286" s="176"/>
      <c r="M286" s="120"/>
      <c r="N286" s="176"/>
      <c r="O286" s="120"/>
      <c r="P286" s="176"/>
      <c r="Q286" s="177"/>
      <c r="R286" s="105"/>
      <c r="S286" s="176"/>
      <c r="T286" s="176"/>
    </row>
    <row r="287" spans="1:20" outlineLevel="1">
      <c r="A287" s="140"/>
      <c r="B287" s="178" t="s">
        <v>451</v>
      </c>
      <c r="C287" s="131"/>
      <c r="D287" s="131"/>
      <c r="E287" s="131"/>
      <c r="F287" s="131"/>
      <c r="G287" s="131"/>
      <c r="H287" s="131"/>
      <c r="I287" s="131"/>
      <c r="J287" s="131"/>
      <c r="K287" s="131"/>
      <c r="L287" s="131"/>
      <c r="M287" s="105"/>
      <c r="N287" s="131"/>
      <c r="O287" s="105"/>
      <c r="P287" s="131"/>
      <c r="Q287" s="179"/>
      <c r="R287" s="105"/>
      <c r="S287" s="105"/>
      <c r="T287" s="105"/>
    </row>
    <row r="288" spans="1:20" ht="6" customHeight="1" outlineLevel="1">
      <c r="A288" s="138"/>
      <c r="B288" s="140"/>
      <c r="C288" s="105"/>
      <c r="D288" s="105"/>
      <c r="E288" s="105"/>
      <c r="F288" s="105"/>
      <c r="G288" s="105"/>
      <c r="H288" s="105"/>
      <c r="I288" s="105"/>
      <c r="J288" s="143"/>
      <c r="K288" s="142"/>
      <c r="L288" s="143"/>
      <c r="M288" s="142"/>
      <c r="N288" s="143"/>
      <c r="O288" s="142"/>
      <c r="P288" s="143"/>
      <c r="Q288" s="179"/>
      <c r="R288" s="105"/>
      <c r="S288" s="105"/>
      <c r="T288" s="105"/>
    </row>
    <row r="289" spans="1:20" s="64" customFormat="1">
      <c r="A289" s="180" t="s">
        <v>451</v>
      </c>
      <c r="B289" s="181"/>
      <c r="C289" s="173"/>
      <c r="D289" s="173"/>
      <c r="E289" s="173" t="s">
        <v>452</v>
      </c>
      <c r="F289" s="173"/>
      <c r="G289" s="173"/>
      <c r="H289" s="173"/>
      <c r="I289" s="173"/>
      <c r="J289" s="182">
        <f>SUM(J287:J288)</f>
        <v>0</v>
      </c>
      <c r="K289" s="183"/>
      <c r="L289" s="182">
        <f>SUM(L287:L288)</f>
        <v>0</v>
      </c>
      <c r="M289" s="183"/>
      <c r="N289" s="182">
        <f>SUM(N287:N288)</f>
        <v>0</v>
      </c>
      <c r="O289" s="184"/>
      <c r="P289" s="182">
        <f>SUM(P287:P288)</f>
        <v>0</v>
      </c>
      <c r="Q289" s="185"/>
      <c r="R289" s="173"/>
      <c r="S289" s="173"/>
      <c r="T289" s="173"/>
    </row>
    <row r="290" spans="1:20">
      <c r="A290" s="186"/>
      <c r="B290" s="140"/>
      <c r="C290" s="105"/>
      <c r="D290" s="105"/>
      <c r="E290" s="105"/>
      <c r="F290" s="105"/>
      <c r="G290" s="105"/>
      <c r="H290" s="105"/>
      <c r="I290" s="105"/>
      <c r="J290" s="170"/>
      <c r="K290" s="170"/>
      <c r="L290" s="170"/>
      <c r="M290" s="170"/>
      <c r="N290" s="170"/>
      <c r="O290" s="170"/>
      <c r="P290" s="170"/>
      <c r="Q290" s="187"/>
      <c r="R290" s="170"/>
      <c r="S290" s="170"/>
      <c r="T290" s="105"/>
    </row>
    <row r="291" spans="1:20">
      <c r="A291" s="186"/>
      <c r="B291" s="138"/>
      <c r="C291" s="170"/>
      <c r="D291" s="108"/>
      <c r="E291" s="108"/>
      <c r="F291" s="108"/>
      <c r="G291" s="108"/>
      <c r="H291" s="105"/>
      <c r="I291" s="105"/>
      <c r="J291" s="176"/>
      <c r="K291" s="105"/>
      <c r="L291" s="176"/>
      <c r="M291" s="120"/>
      <c r="N291" s="176"/>
      <c r="O291" s="120"/>
      <c r="P291" s="176"/>
      <c r="Q291" s="179"/>
      <c r="R291" s="105"/>
      <c r="S291" s="105"/>
      <c r="T291" s="105"/>
    </row>
  </sheetData>
  <pageMargins left="0.15" right="0.2" top="0.25" bottom="0.25" header="0.18" footer="0.25"/>
  <pageSetup scale="71" fitToHeight="0" orientation="portrait" errors="blank" horizontalDpi="4294967292" r:id="rId1"/>
  <headerFooter alignWithMargins="0">
    <oddFooter>&amp;L&amp;F - &amp;A&amp;CPrinted &amp;D - &amp;T&amp;RPage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T295"/>
  <sheetViews>
    <sheetView showGridLines="0" topLeftCell="D7" zoomScale="75" zoomScaleNormal="75" workbookViewId="0">
      <pane xSplit="5" ySplit="5" topLeftCell="I12" activePane="bottomRight" state="frozen"/>
      <selection activeCell="D7" sqref="D7"/>
      <selection pane="topRight" activeCell="I7" sqref="I7"/>
      <selection pane="bottomLeft" activeCell="D12" sqref="D12"/>
      <selection pane="bottomRight" activeCell="Z40" sqref="Z40"/>
    </sheetView>
  </sheetViews>
  <sheetFormatPr defaultColWidth="13.85546875" defaultRowHeight="12.75" outlineLevelRow="1"/>
  <cols>
    <col min="1" max="1" width="110.28515625" style="61" customWidth="1"/>
    <col min="2" max="2" width="18.42578125" style="61" customWidth="1"/>
    <col min="3" max="3" width="13.85546875" style="61"/>
    <col min="4" max="4" width="6.85546875" style="61" customWidth="1"/>
    <col min="5" max="6" width="2.28515625" style="61" customWidth="1"/>
    <col min="7" max="7" width="28" style="61" customWidth="1"/>
    <col min="8" max="8" width="2.28515625" style="61" customWidth="1"/>
    <col min="9" max="9" width="2.140625" style="61" customWidth="1"/>
    <col min="10" max="10" width="12.28515625" style="77" customWidth="1"/>
    <col min="11" max="11" width="0.85546875" style="61" customWidth="1"/>
    <col min="12" max="12" width="12.28515625" style="77" customWidth="1"/>
    <col min="13" max="13" width="1.5703125" style="61" customWidth="1"/>
    <col min="14" max="14" width="12.28515625" style="77" customWidth="1"/>
    <col min="15" max="15" width="1.5703125" style="61" customWidth="1"/>
    <col min="16" max="16" width="12.28515625" style="77" customWidth="1"/>
    <col min="17" max="17" width="5.28515625" style="61" customWidth="1"/>
    <col min="18" max="18" width="1.42578125" style="61" customWidth="1"/>
    <col min="19" max="19" width="1.28515625" style="61" customWidth="1"/>
    <col min="20" max="16384" width="13.85546875" style="61"/>
  </cols>
  <sheetData>
    <row r="1" spans="1:20">
      <c r="D1" s="61" t="s">
        <v>291</v>
      </c>
      <c r="E1" s="61" t="s">
        <v>292</v>
      </c>
      <c r="F1" s="62"/>
      <c r="G1" s="63"/>
      <c r="J1" s="61" t="s">
        <v>293</v>
      </c>
      <c r="L1" s="61" t="s">
        <v>294</v>
      </c>
      <c r="N1" s="61" t="s">
        <v>295</v>
      </c>
      <c r="P1" s="64" t="s">
        <v>525</v>
      </c>
    </row>
    <row r="2" spans="1:20" outlineLevel="1">
      <c r="A2" s="105"/>
      <c r="B2" s="106"/>
      <c r="C2" s="105"/>
      <c r="D2" s="107"/>
      <c r="E2" s="107"/>
      <c r="F2" s="108"/>
      <c r="G2" s="109"/>
      <c r="H2" s="110"/>
      <c r="I2" s="111"/>
      <c r="J2" s="112">
        <v>0</v>
      </c>
      <c r="K2" s="111"/>
      <c r="L2" s="112">
        <v>0</v>
      </c>
      <c r="M2" s="111"/>
      <c r="N2" s="112">
        <v>0</v>
      </c>
      <c r="O2" s="111"/>
      <c r="P2" s="112">
        <v>0</v>
      </c>
      <c r="Q2" s="113">
        <f>IF(P$56=0,0,P2/P$56)</f>
        <v>0</v>
      </c>
      <c r="R2" s="114"/>
      <c r="S2" s="115"/>
      <c r="T2" s="105"/>
    </row>
    <row r="3" spans="1:20">
      <c r="D3" s="66"/>
      <c r="E3" s="66"/>
      <c r="F3" s="66"/>
      <c r="G3" s="66"/>
      <c r="H3" s="66"/>
      <c r="I3" s="66"/>
      <c r="J3" s="61" t="str">
        <f>TEXT(EDATE(DATEVALUE(RIGHT($N$3,2)&amp;"/1/"&amp;LEFT($N$3,4)),-2),"yyyy-mm")</f>
        <v>2016-04</v>
      </c>
      <c r="L3" s="61" t="str">
        <f>TEXT(EDATE(DATEVALUE(RIGHT($N$3,2)&amp;"/1/"&amp;LEFT($N$3,4)),-1),"yyyy-mm")</f>
        <v>2016-05</v>
      </c>
      <c r="N3" s="61" t="str">
        <f>D9</f>
        <v>2016-06</v>
      </c>
      <c r="P3" s="61"/>
    </row>
    <row r="4" spans="1:20">
      <c r="A4" s="61" t="str">
        <f>_xll.jBinder("MarkerCell")</f>
        <v>jBinderOption{MarkerCell}: This cell will be used to note the tab was created from the binder.</v>
      </c>
      <c r="B4" s="67" t="str">
        <f ca="1">_xll.ReportVariable("FinCube",B13:B295,1:1,2:2,_xll.Param("PL"&amp;IF(ExcludeIC=TRUE,",!Eliminated",""),District,System,,,,"*",,RIGHT(YearMonth,2),LEFT(YearMonth,4),,,1,,FALSE))</f>
        <v>OK!: ReportVariable Formula OK [jAction{}]</v>
      </c>
      <c r="D4" s="66"/>
      <c r="E4" s="66"/>
      <c r="F4" s="66"/>
      <c r="G4" s="66"/>
      <c r="H4" s="66"/>
      <c r="I4" s="66"/>
      <c r="J4" s="61" t="s">
        <v>296</v>
      </c>
      <c r="L4" s="61" t="s">
        <v>296</v>
      </c>
      <c r="N4" s="61" t="s">
        <v>296</v>
      </c>
      <c r="P4" s="61"/>
    </row>
    <row r="5" spans="1:20" ht="15">
      <c r="A5" s="61" t="str">
        <f>_xll.jBinder("ChooseSegmentListtoIterateThru","Dist")</f>
        <v>jBinderOption{ChooseSegmentListtoIterateThru|Dist}: Option "ChooseSegmentListtoIterateThru" has value "Dist"</v>
      </c>
      <c r="B5" s="61" t="str">
        <f ca="1">_xll.ReportDrill(,"JEQuery_WithStaged",_xll.PairGroup(_xll.PairExt("C:d","Accounts"),_xll.PairExt(System,"Systems","N"),_xll.PairExt("R:3","DateFrom","Y"),_xll.PairExt("R:3","DateTo","Y"),_xll.PairExt(District,"Districts"),_xll.PairExt("","SubSystems","n"),_xll.PairExt("","VendorCode","n"),_xll.PairExt("","AmountFrom","N"),_xll.PairExt("","AmountTo","n"),_xll.PairExt("R:4","Posting","Y")),"Drill To JEQuery")</f>
        <v>OK!: ReportDrill 'Drill To JEQuery' Formula OK [jAction{}]</v>
      </c>
      <c r="G5" s="68"/>
      <c r="J5" s="61"/>
      <c r="L5" s="61"/>
      <c r="N5" s="61"/>
      <c r="P5" s="61"/>
    </row>
    <row r="6" spans="1:20">
      <c r="A6" s="61" t="str">
        <f>_xll.jBinder("CreateSummaryTab","False")</f>
        <v>jBinderOption{CreateSummaryTab|False}: Option "CreateSummaryTab" has value "False"</v>
      </c>
      <c r="B6" s="116" t="str">
        <f ca="1">_xll.ReportDrill(,"JEQuery_WithStaged",_xll.PairGroup(_xll.PairExt("C:a","Accounts"),_xll.PairExt(System,"Systems","N"),_xll.PairExt("R:3","DateFrom","Y"),_xll.PairExt("R:3","DateTo","Y"),_xll.PairExt(District,"Districts"),_xll.PairExt("","SubSystems","n"),_xll.PairExt("","VendorCode","n"),_xll.PairExt("","AmountFrom","N"),_xll.PairExt("","AmountTo","n"),_xll.PairExt("R:4","Posting","Y")),"Drill To JEQuery")</f>
        <v>OK!: ReportDrill 'Drill To JEQuery' Formula OK [jAction{}]</v>
      </c>
      <c r="J6" s="61"/>
      <c r="L6" s="61"/>
      <c r="N6" s="61"/>
      <c r="P6" s="61"/>
    </row>
    <row r="7" spans="1:20" s="70" customFormat="1" ht="15.75">
      <c r="A7" s="61" t="str">
        <f ca="1">_xll.jBinder("Dist",District)</f>
        <v>jBinderOption{Dist||N7}: "Dist" can iterate on cell "N7"</v>
      </c>
      <c r="B7" s="117">
        <f>DATEVALUE(RIGHT(YearMonth,2)&amp;"/1/"&amp;LEFT(YearMonth,4))</f>
        <v>42522</v>
      </c>
      <c r="C7" s="61"/>
      <c r="D7" s="69" t="s">
        <v>297</v>
      </c>
      <c r="M7" s="71" t="s">
        <v>298</v>
      </c>
      <c r="N7" s="73" t="s">
        <v>299</v>
      </c>
      <c r="P7" s="72"/>
    </row>
    <row r="8" spans="1:20" s="70" customFormat="1" ht="15.75">
      <c r="A8" s="61" t="str">
        <f>_xll.jBinder("TabSuffix","_IS210")</f>
        <v>jBinderOption{TabSuffix|_IS210}: Option "TabSuffix" has value "_IS210"</v>
      </c>
      <c r="B8" s="117">
        <f>DATEVALUE("1/1/"&amp;LEFT(YearMonth,4))</f>
        <v>42370</v>
      </c>
      <c r="D8" s="69" t="s">
        <v>300</v>
      </c>
      <c r="N8" s="73" t="s">
        <v>301</v>
      </c>
      <c r="T8" s="118"/>
    </row>
    <row r="9" spans="1:20" s="70" customFormat="1" ht="15.75">
      <c r="A9" s="61"/>
      <c r="D9" s="74" t="s">
        <v>557</v>
      </c>
      <c r="J9" s="119" t="s">
        <v>527</v>
      </c>
      <c r="K9" s="75"/>
      <c r="L9" s="119" t="s">
        <v>527</v>
      </c>
      <c r="M9" s="75"/>
      <c r="N9" s="119" t="s">
        <v>527</v>
      </c>
      <c r="O9" s="75"/>
      <c r="P9" s="75"/>
      <c r="Q9" s="75"/>
      <c r="R9" s="75"/>
    </row>
    <row r="10" spans="1:20" s="70" customFormat="1" ht="15">
      <c r="A10" s="105"/>
      <c r="B10" s="120"/>
      <c r="C10" s="120"/>
      <c r="D10" s="120"/>
      <c r="E10" s="120"/>
      <c r="F10" s="120"/>
      <c r="G10" s="120"/>
      <c r="H10" s="120"/>
      <c r="I10" s="120"/>
      <c r="J10" s="121" t="s">
        <v>302</v>
      </c>
      <c r="K10" s="122"/>
      <c r="L10" s="121"/>
      <c r="M10" s="122"/>
      <c r="N10" s="123"/>
      <c r="O10" s="122"/>
      <c r="P10" s="121"/>
      <c r="Q10" s="124"/>
      <c r="R10" s="120"/>
      <c r="S10" s="120"/>
      <c r="T10" s="120"/>
    </row>
    <row r="11" spans="1:20" s="70" customFormat="1" ht="15.75" thickBot="1">
      <c r="A11" s="105"/>
      <c r="B11" s="125" t="s">
        <v>303</v>
      </c>
      <c r="C11" s="120"/>
      <c r="D11" s="120"/>
      <c r="E11" s="120"/>
      <c r="F11" s="120"/>
      <c r="G11" s="120"/>
      <c r="H11" s="120"/>
      <c r="I11" s="120"/>
      <c r="J11" s="126">
        <f>IFERROR(EDATE($B$7,-2),"")</f>
        <v>42461</v>
      </c>
      <c r="K11" s="127"/>
      <c r="L11" s="126">
        <f>IFERROR(EDATE($B$7,-1),"")</f>
        <v>42491</v>
      </c>
      <c r="M11" s="127"/>
      <c r="N11" s="126">
        <f>IFERROR($B$7,"")</f>
        <v>42522</v>
      </c>
      <c r="O11" s="128"/>
      <c r="P11" s="129" t="s">
        <v>528</v>
      </c>
      <c r="Q11" s="130"/>
      <c r="R11" s="120"/>
      <c r="S11" s="120"/>
      <c r="T11" s="120"/>
    </row>
    <row r="12" spans="1:20" s="75" customFormat="1">
      <c r="A12" s="120"/>
      <c r="B12" s="131"/>
      <c r="C12" s="120"/>
      <c r="D12" s="120"/>
      <c r="E12" s="120" t="s">
        <v>305</v>
      </c>
      <c r="F12" s="132"/>
      <c r="G12" s="133"/>
      <c r="H12" s="120"/>
      <c r="I12" s="120"/>
      <c r="J12" s="134">
        <f>IFERROR(NETWORKDAYS(J11,EOMONTH(J11,0)),"")</f>
        <v>21</v>
      </c>
      <c r="K12" s="120"/>
      <c r="L12" s="134">
        <f>IFERROR(NETWORKDAYS(L11,EOMONTH(L11,0)),"")</f>
        <v>22</v>
      </c>
      <c r="M12" s="120"/>
      <c r="N12" s="134">
        <f>IFERROR(NETWORKDAYS(N11,EOMONTH(N11,0)),"")</f>
        <v>22</v>
      </c>
      <c r="O12" s="120"/>
      <c r="P12" s="134">
        <f>IFERROR(NETWORKDAYS($B$8,EOMONTH($B$7,0)),"")</f>
        <v>130</v>
      </c>
      <c r="Q12" s="76"/>
      <c r="R12" s="120"/>
      <c r="S12" s="120"/>
      <c r="T12" s="120"/>
    </row>
    <row r="13" spans="1:20" s="75" customFormat="1" hidden="1">
      <c r="A13" s="120"/>
      <c r="B13" s="131" t="s">
        <v>304</v>
      </c>
      <c r="C13" s="120"/>
      <c r="D13" s="120"/>
      <c r="E13" s="133"/>
      <c r="F13" s="132"/>
      <c r="G13" s="133"/>
      <c r="H13" s="120"/>
      <c r="I13" s="120"/>
      <c r="J13" s="134"/>
      <c r="K13" s="120"/>
      <c r="L13" s="134"/>
      <c r="M13" s="120"/>
      <c r="N13" s="134"/>
      <c r="O13" s="120"/>
      <c r="P13" s="134"/>
      <c r="Q13" s="135"/>
      <c r="R13" s="120"/>
      <c r="S13" s="120"/>
      <c r="T13" s="120"/>
    </row>
    <row r="14" spans="1:20" s="65" customFormat="1" ht="4.5" customHeight="1">
      <c r="A14" s="110"/>
      <c r="B14" s="110"/>
      <c r="C14" s="110"/>
      <c r="D14" s="110"/>
      <c r="E14" s="110"/>
      <c r="F14" s="110"/>
      <c r="G14" s="110"/>
      <c r="H14" s="110"/>
      <c r="I14" s="110"/>
      <c r="J14" s="111"/>
      <c r="K14" s="120"/>
      <c r="L14" s="111"/>
      <c r="M14" s="120"/>
      <c r="N14" s="111"/>
      <c r="O14" s="120"/>
      <c r="P14" s="111"/>
      <c r="Q14" s="136"/>
      <c r="R14" s="120"/>
      <c r="S14" s="120"/>
      <c r="T14" s="110"/>
    </row>
    <row r="15" spans="1:20" s="65" customFormat="1" outlineLevel="1">
      <c r="A15" s="110"/>
      <c r="B15" s="110"/>
      <c r="C15" s="110"/>
      <c r="D15" s="110"/>
      <c r="E15" s="110"/>
      <c r="F15" s="110"/>
      <c r="G15" s="110"/>
      <c r="H15" s="110"/>
      <c r="I15" s="110"/>
      <c r="J15" s="111"/>
      <c r="K15" s="120"/>
      <c r="L15" s="111"/>
      <c r="M15" s="120"/>
      <c r="N15" s="111"/>
      <c r="O15" s="120"/>
      <c r="P15" s="111"/>
      <c r="Q15" s="137"/>
      <c r="R15" s="120"/>
      <c r="S15" s="120"/>
      <c r="T15" s="110"/>
    </row>
    <row r="16" spans="1:20" outlineLevel="1">
      <c r="A16" s="105"/>
      <c r="B16" s="106" t="s">
        <v>306</v>
      </c>
      <c r="C16" s="105"/>
      <c r="D16" s="107">
        <v>31000</v>
      </c>
      <c r="E16" s="107" t="s">
        <v>307</v>
      </c>
      <c r="F16" s="108"/>
      <c r="G16" s="109"/>
      <c r="H16" s="110"/>
      <c r="I16" s="111"/>
      <c r="J16" s="112">
        <v>8845.5400000000009</v>
      </c>
      <c r="K16" s="111"/>
      <c r="L16" s="112">
        <v>4143.07</v>
      </c>
      <c r="M16" s="111"/>
      <c r="N16" s="112">
        <v>8064.93</v>
      </c>
      <c r="O16" s="111"/>
      <c r="P16" s="112">
        <v>33348.07</v>
      </c>
      <c r="Q16" s="113">
        <f t="shared" ref="Q16:Q23" si="0">IF(P$56=0,0,P16/P$56)</f>
        <v>2.2567705630952183E-2</v>
      </c>
      <c r="R16" s="114"/>
      <c r="S16" s="115"/>
      <c r="T16" s="105"/>
    </row>
    <row r="17" spans="1:20" outlineLevel="1">
      <c r="A17" s="105"/>
      <c r="B17" s="106" t="s">
        <v>308</v>
      </c>
      <c r="C17" s="105"/>
      <c r="D17" s="107">
        <v>31005</v>
      </c>
      <c r="E17" s="107" t="s">
        <v>309</v>
      </c>
      <c r="F17" s="108"/>
      <c r="G17" s="109"/>
      <c r="H17" s="110"/>
      <c r="I17" s="111"/>
      <c r="J17" s="112">
        <v>10236.02</v>
      </c>
      <c r="K17" s="111"/>
      <c r="L17" s="112">
        <v>4329.59</v>
      </c>
      <c r="M17" s="111"/>
      <c r="N17" s="112">
        <v>9499.3799999999992</v>
      </c>
      <c r="O17" s="111"/>
      <c r="P17" s="112">
        <v>37417.870000000003</v>
      </c>
      <c r="Q17" s="113">
        <f t="shared" si="0"/>
        <v>2.5321869466425995E-2</v>
      </c>
      <c r="R17" s="114"/>
      <c r="S17" s="115"/>
      <c r="T17" s="105"/>
    </row>
    <row r="18" spans="1:20" outlineLevel="1">
      <c r="A18" s="105"/>
      <c r="B18" s="106" t="s">
        <v>308</v>
      </c>
      <c r="C18" s="105"/>
      <c r="D18" s="107">
        <v>31010</v>
      </c>
      <c r="E18" s="107" t="s">
        <v>310</v>
      </c>
      <c r="F18" s="108"/>
      <c r="G18" s="109"/>
      <c r="H18" s="110"/>
      <c r="I18" s="111"/>
      <c r="J18" s="112">
        <v>2733.16</v>
      </c>
      <c r="K18" s="111"/>
      <c r="L18" s="112">
        <v>1458.26</v>
      </c>
      <c r="M18" s="111"/>
      <c r="N18" s="112">
        <v>3607.76</v>
      </c>
      <c r="O18" s="111"/>
      <c r="P18" s="112">
        <v>12346.94</v>
      </c>
      <c r="Q18" s="113">
        <f t="shared" si="0"/>
        <v>8.3555692237370482E-3</v>
      </c>
      <c r="R18" s="114"/>
      <c r="S18" s="115"/>
      <c r="T18" s="105"/>
    </row>
    <row r="19" spans="1:20" outlineLevel="1">
      <c r="A19" s="105"/>
      <c r="B19" s="106" t="s">
        <v>308</v>
      </c>
      <c r="C19" s="105"/>
      <c r="D19" s="107">
        <v>32000</v>
      </c>
      <c r="E19" s="107" t="s">
        <v>311</v>
      </c>
      <c r="F19" s="108"/>
      <c r="G19" s="109"/>
      <c r="H19" s="110"/>
      <c r="I19" s="111"/>
      <c r="J19" s="112">
        <v>125352.15</v>
      </c>
      <c r="K19" s="111"/>
      <c r="L19" s="112">
        <v>126300.97</v>
      </c>
      <c r="M19" s="111"/>
      <c r="N19" s="112">
        <v>126489.76</v>
      </c>
      <c r="O19" s="111"/>
      <c r="P19" s="112">
        <v>749814.88</v>
      </c>
      <c r="Q19" s="113">
        <f t="shared" si="0"/>
        <v>0.50742371266306374</v>
      </c>
      <c r="R19" s="114"/>
      <c r="S19" s="115"/>
      <c r="T19" s="105"/>
    </row>
    <row r="20" spans="1:20" outlineLevel="1">
      <c r="A20" s="105"/>
      <c r="B20" s="106" t="s">
        <v>308</v>
      </c>
      <c r="C20" s="105"/>
      <c r="D20" s="107">
        <v>32001</v>
      </c>
      <c r="E20" s="107" t="s">
        <v>312</v>
      </c>
      <c r="F20" s="108"/>
      <c r="G20" s="109"/>
      <c r="H20" s="110"/>
      <c r="I20" s="111"/>
      <c r="J20" s="112">
        <v>2854.99</v>
      </c>
      <c r="K20" s="111"/>
      <c r="L20" s="112">
        <v>4144.28</v>
      </c>
      <c r="M20" s="111"/>
      <c r="N20" s="112">
        <v>3821.53</v>
      </c>
      <c r="O20" s="111"/>
      <c r="P20" s="112">
        <v>19461.5</v>
      </c>
      <c r="Q20" s="113">
        <f t="shared" si="0"/>
        <v>1.3170219540044622E-2</v>
      </c>
      <c r="R20" s="114"/>
      <c r="S20" s="115"/>
      <c r="T20" s="105"/>
    </row>
    <row r="21" spans="1:20" outlineLevel="1">
      <c r="A21" s="105"/>
      <c r="B21" s="106" t="s">
        <v>308</v>
      </c>
      <c r="C21" s="105"/>
      <c r="D21" s="107">
        <v>33000</v>
      </c>
      <c r="E21" s="107" t="s">
        <v>313</v>
      </c>
      <c r="F21" s="108"/>
      <c r="G21" s="109"/>
      <c r="H21" s="110"/>
      <c r="I21" s="111"/>
      <c r="J21" s="112">
        <v>101793.31</v>
      </c>
      <c r="K21" s="111"/>
      <c r="L21" s="112">
        <v>102949.83</v>
      </c>
      <c r="M21" s="111"/>
      <c r="N21" s="112">
        <v>106085.64</v>
      </c>
      <c r="O21" s="111"/>
      <c r="P21" s="112">
        <v>607277.67000000004</v>
      </c>
      <c r="Q21" s="113">
        <f t="shared" si="0"/>
        <v>0.41096422350110584</v>
      </c>
      <c r="R21" s="114"/>
      <c r="S21" s="115"/>
      <c r="T21" s="105"/>
    </row>
    <row r="22" spans="1:20" outlineLevel="1">
      <c r="A22" s="105"/>
      <c r="B22" s="106" t="s">
        <v>308</v>
      </c>
      <c r="C22" s="105"/>
      <c r="D22" s="107">
        <v>33001</v>
      </c>
      <c r="E22" s="107" t="s">
        <v>529</v>
      </c>
      <c r="F22" s="108"/>
      <c r="G22" s="109"/>
      <c r="H22" s="110"/>
      <c r="I22" s="111"/>
      <c r="J22" s="112">
        <v>59.58</v>
      </c>
      <c r="K22" s="111"/>
      <c r="L22" s="112">
        <v>39.72</v>
      </c>
      <c r="M22" s="111"/>
      <c r="N22" s="112">
        <v>52.96</v>
      </c>
      <c r="O22" s="111"/>
      <c r="P22" s="112">
        <v>302.87</v>
      </c>
      <c r="Q22" s="113">
        <f t="shared" si="0"/>
        <v>2.0496181651431363E-4</v>
      </c>
      <c r="R22" s="114"/>
      <c r="S22" s="115"/>
      <c r="T22" s="105"/>
    </row>
    <row r="23" spans="1:20" outlineLevel="1">
      <c r="A23" s="105"/>
      <c r="B23" s="106" t="s">
        <v>308</v>
      </c>
      <c r="C23" s="105"/>
      <c r="D23" s="107">
        <v>33011</v>
      </c>
      <c r="E23" s="107" t="s">
        <v>314</v>
      </c>
      <c r="F23" s="108"/>
      <c r="G23" s="109"/>
      <c r="H23" s="110"/>
      <c r="I23" s="111"/>
      <c r="J23" s="112">
        <v>1929.58</v>
      </c>
      <c r="K23" s="111"/>
      <c r="L23" s="112">
        <v>2064.87</v>
      </c>
      <c r="M23" s="111"/>
      <c r="N23" s="112">
        <v>2970.89</v>
      </c>
      <c r="O23" s="111"/>
      <c r="P23" s="112">
        <v>10990.9</v>
      </c>
      <c r="Q23" s="113">
        <f t="shared" si="0"/>
        <v>7.4378935818244455E-3</v>
      </c>
      <c r="R23" s="114"/>
      <c r="S23" s="115"/>
      <c r="T23" s="105"/>
    </row>
    <row r="24" spans="1:20" s="65" customFormat="1" ht="4.5" customHeight="1" outlineLevel="1">
      <c r="A24" s="110"/>
      <c r="B24" s="138" t="s">
        <v>301</v>
      </c>
      <c r="C24" s="110"/>
      <c r="D24" s="110"/>
      <c r="E24" s="110"/>
      <c r="F24" s="110"/>
      <c r="G24" s="110"/>
      <c r="H24" s="110"/>
      <c r="I24" s="110"/>
      <c r="J24" s="139"/>
      <c r="K24" s="120"/>
      <c r="L24" s="139"/>
      <c r="M24" s="120"/>
      <c r="N24" s="139"/>
      <c r="O24" s="120"/>
      <c r="P24" s="139"/>
      <c r="Q24" s="137"/>
      <c r="R24" s="120"/>
      <c r="S24" s="120"/>
      <c r="T24" s="110"/>
    </row>
    <row r="25" spans="1:20" s="65" customFormat="1">
      <c r="A25" s="140" t="s">
        <v>306</v>
      </c>
      <c r="B25" s="140" t="s">
        <v>301</v>
      </c>
      <c r="C25" s="110"/>
      <c r="D25" s="110"/>
      <c r="E25" s="110"/>
      <c r="F25" s="110" t="s">
        <v>315</v>
      </c>
      <c r="G25" s="110"/>
      <c r="H25" s="110"/>
      <c r="I25" s="110"/>
      <c r="J25" s="141">
        <f>SUM(J15:J24)</f>
        <v>253804.32999999996</v>
      </c>
      <c r="K25" s="142"/>
      <c r="L25" s="141">
        <f>SUM(L15:L24)</f>
        <v>245430.59</v>
      </c>
      <c r="M25" s="142"/>
      <c r="N25" s="141">
        <f>SUM(N15:N24)</f>
        <v>260592.85</v>
      </c>
      <c r="O25" s="142"/>
      <c r="P25" s="141">
        <f>SUM(P15:P24)</f>
        <v>1470960.7000000002</v>
      </c>
      <c r="Q25" s="113">
        <f>IF(P$56=0,0,P25/P$56)</f>
        <v>0.99544615542366821</v>
      </c>
      <c r="R25" s="120"/>
      <c r="S25" s="120"/>
      <c r="T25" s="110"/>
    </row>
    <row r="26" spans="1:20" s="65" customFormat="1" outlineLevel="1">
      <c r="A26" s="138" t="s">
        <v>301</v>
      </c>
      <c r="B26" s="138" t="s">
        <v>301</v>
      </c>
      <c r="C26" s="110"/>
      <c r="D26" s="110"/>
      <c r="E26" s="110"/>
      <c r="F26" s="110"/>
      <c r="G26" s="110"/>
      <c r="H26" s="110"/>
      <c r="I26" s="110"/>
      <c r="J26" s="142"/>
      <c r="K26" s="142"/>
      <c r="L26" s="142"/>
      <c r="M26" s="142"/>
      <c r="N26" s="142"/>
      <c r="O26" s="142"/>
      <c r="P26" s="142"/>
      <c r="Q26" s="137"/>
      <c r="R26" s="120"/>
      <c r="S26" s="120"/>
      <c r="T26" s="110"/>
    </row>
    <row r="27" spans="1:20" outlineLevel="1">
      <c r="A27" s="105"/>
      <c r="B27" s="106" t="s">
        <v>316</v>
      </c>
      <c r="C27" s="105"/>
      <c r="D27" s="107"/>
      <c r="E27" s="107"/>
      <c r="F27" s="108"/>
      <c r="G27" s="109"/>
      <c r="H27" s="110"/>
      <c r="I27" s="111"/>
      <c r="J27" s="112"/>
      <c r="K27" s="111"/>
      <c r="L27" s="112"/>
      <c r="M27" s="111"/>
      <c r="N27" s="112"/>
      <c r="O27" s="111"/>
      <c r="P27" s="112"/>
      <c r="Q27" s="113"/>
      <c r="R27" s="114"/>
      <c r="S27" s="115"/>
      <c r="T27" s="105"/>
    </row>
    <row r="28" spans="1:20" s="65" customFormat="1" ht="5.0999999999999996" customHeight="1" outlineLevel="1">
      <c r="A28" s="138" t="s">
        <v>301</v>
      </c>
      <c r="B28" s="138" t="s">
        <v>301</v>
      </c>
      <c r="C28" s="110"/>
      <c r="D28" s="108"/>
      <c r="E28" s="108"/>
      <c r="F28" s="108"/>
      <c r="G28" s="108"/>
      <c r="H28" s="110"/>
      <c r="I28" s="110"/>
      <c r="J28" s="143"/>
      <c r="K28" s="142"/>
      <c r="L28" s="143"/>
      <c r="M28" s="142"/>
      <c r="N28" s="143"/>
      <c r="O28" s="142"/>
      <c r="P28" s="143"/>
      <c r="Q28" s="137"/>
      <c r="R28" s="120"/>
      <c r="S28" s="120"/>
      <c r="T28" s="110"/>
    </row>
    <row r="29" spans="1:20" s="65" customFormat="1">
      <c r="A29" s="140" t="s">
        <v>316</v>
      </c>
      <c r="B29" s="140" t="s">
        <v>301</v>
      </c>
      <c r="C29" s="110"/>
      <c r="D29" s="110"/>
      <c r="E29" s="110"/>
      <c r="F29" s="108" t="s">
        <v>317</v>
      </c>
      <c r="G29" s="110"/>
      <c r="H29" s="110"/>
      <c r="I29" s="110"/>
      <c r="J29" s="141">
        <f>SUM(J27:J28)</f>
        <v>0</v>
      </c>
      <c r="K29" s="142"/>
      <c r="L29" s="141">
        <f>SUM(L27:L28)</f>
        <v>0</v>
      </c>
      <c r="M29" s="142"/>
      <c r="N29" s="141">
        <f>SUM(N27:N28)</f>
        <v>0</v>
      </c>
      <c r="O29" s="142"/>
      <c r="P29" s="141">
        <f>SUM(P27:P28)</f>
        <v>0</v>
      </c>
      <c r="Q29" s="113">
        <f>IF(P$56=0,0,P29/P$56)</f>
        <v>0</v>
      </c>
      <c r="R29" s="120"/>
      <c r="S29" s="120"/>
      <c r="T29" s="110"/>
    </row>
    <row r="30" spans="1:20" s="65" customFormat="1" outlineLevel="1">
      <c r="A30" s="138" t="s">
        <v>301</v>
      </c>
      <c r="B30" s="140"/>
      <c r="C30" s="110"/>
      <c r="D30" s="110"/>
      <c r="E30" s="110"/>
      <c r="F30" s="110"/>
      <c r="G30" s="110"/>
      <c r="H30" s="110"/>
      <c r="I30" s="110"/>
      <c r="J30" s="142"/>
      <c r="K30" s="142"/>
      <c r="L30" s="142"/>
      <c r="M30" s="142"/>
      <c r="N30" s="142"/>
      <c r="O30" s="142"/>
      <c r="P30" s="142"/>
      <c r="Q30" s="137"/>
      <c r="R30" s="120"/>
      <c r="S30" s="120"/>
      <c r="T30" s="110"/>
    </row>
    <row r="31" spans="1:20" s="65" customFormat="1" outlineLevel="1">
      <c r="A31" s="140" t="s">
        <v>301</v>
      </c>
      <c r="B31" s="140" t="s">
        <v>301</v>
      </c>
      <c r="C31" s="110"/>
      <c r="D31" s="110"/>
      <c r="E31" s="110"/>
      <c r="F31" s="110"/>
      <c r="G31" s="110"/>
      <c r="H31" s="110"/>
      <c r="I31" s="110"/>
      <c r="J31" s="142"/>
      <c r="K31" s="142"/>
      <c r="L31" s="142"/>
      <c r="M31" s="142"/>
      <c r="N31" s="142"/>
      <c r="O31" s="142"/>
      <c r="P31" s="142"/>
      <c r="Q31" s="137"/>
      <c r="R31" s="120"/>
      <c r="S31" s="120"/>
      <c r="T31" s="110"/>
    </row>
    <row r="32" spans="1:20" outlineLevel="1">
      <c r="A32" s="105"/>
      <c r="B32" s="106" t="s">
        <v>318</v>
      </c>
      <c r="C32" s="105"/>
      <c r="D32" s="107">
        <v>35514</v>
      </c>
      <c r="E32" s="107" t="s">
        <v>530</v>
      </c>
      <c r="F32" s="108"/>
      <c r="G32" s="109"/>
      <c r="H32" s="110"/>
      <c r="I32" s="111"/>
      <c r="J32" s="112">
        <v>0</v>
      </c>
      <c r="K32" s="111"/>
      <c r="L32" s="112">
        <v>0</v>
      </c>
      <c r="M32" s="111"/>
      <c r="N32" s="112">
        <v>228.25</v>
      </c>
      <c r="O32" s="111"/>
      <c r="P32" s="112">
        <v>569.04999999999995</v>
      </c>
      <c r="Q32" s="113">
        <f t="shared" ref="Q32:Q33" si="1">IF(P$56=0,0,P32/P$56)</f>
        <v>3.8509433647264559E-4</v>
      </c>
      <c r="R32" s="114"/>
      <c r="S32" s="115"/>
      <c r="T32" s="105"/>
    </row>
    <row r="33" spans="1:20" outlineLevel="1">
      <c r="A33" s="105"/>
      <c r="B33" s="106" t="s">
        <v>308</v>
      </c>
      <c r="C33" s="105"/>
      <c r="D33" s="107">
        <v>35518</v>
      </c>
      <c r="E33" s="107" t="s">
        <v>531</v>
      </c>
      <c r="F33" s="108"/>
      <c r="G33" s="109"/>
      <c r="H33" s="110"/>
      <c r="I33" s="111"/>
      <c r="J33" s="112">
        <v>0</v>
      </c>
      <c r="K33" s="111"/>
      <c r="L33" s="112">
        <v>385.91</v>
      </c>
      <c r="M33" s="111"/>
      <c r="N33" s="112">
        <v>1247.75</v>
      </c>
      <c r="O33" s="111"/>
      <c r="P33" s="112">
        <v>2283.9</v>
      </c>
      <c r="Q33" s="113">
        <f t="shared" si="1"/>
        <v>1.5455881821806086E-3</v>
      </c>
      <c r="R33" s="114"/>
      <c r="S33" s="115"/>
      <c r="T33" s="105"/>
    </row>
    <row r="34" spans="1:20" s="65" customFormat="1" ht="5.0999999999999996" customHeight="1" outlineLevel="1">
      <c r="A34" s="140" t="s">
        <v>301</v>
      </c>
      <c r="B34" s="138" t="s">
        <v>301</v>
      </c>
      <c r="C34" s="110"/>
      <c r="D34" s="108"/>
      <c r="E34" s="108"/>
      <c r="F34" s="108"/>
      <c r="G34" s="108"/>
      <c r="H34" s="110"/>
      <c r="I34" s="110"/>
      <c r="J34" s="143"/>
      <c r="K34" s="142"/>
      <c r="L34" s="143"/>
      <c r="M34" s="142"/>
      <c r="N34" s="143"/>
      <c r="O34" s="142"/>
      <c r="P34" s="143"/>
      <c r="Q34" s="137"/>
      <c r="R34" s="120"/>
      <c r="S34" s="120"/>
      <c r="T34" s="110"/>
    </row>
    <row r="35" spans="1:20" s="65" customFormat="1">
      <c r="A35" s="140" t="s">
        <v>318</v>
      </c>
      <c r="B35" s="140" t="s">
        <v>301</v>
      </c>
      <c r="C35" s="110"/>
      <c r="D35" s="110"/>
      <c r="E35" s="110"/>
      <c r="F35" s="108" t="s">
        <v>320</v>
      </c>
      <c r="G35" s="110"/>
      <c r="H35" s="110"/>
      <c r="I35" s="110"/>
      <c r="J35" s="141">
        <f>SUM(J31:J34)</f>
        <v>0</v>
      </c>
      <c r="K35" s="142"/>
      <c r="L35" s="141">
        <f>SUM(L31:L34)</f>
        <v>385.91</v>
      </c>
      <c r="M35" s="142"/>
      <c r="N35" s="141">
        <f>SUM(N31:N34)</f>
        <v>1476</v>
      </c>
      <c r="O35" s="142"/>
      <c r="P35" s="141">
        <f>SUM(P31:P34)</f>
        <v>2852.95</v>
      </c>
      <c r="Q35" s="113">
        <f>IF(P$56=0,0,P35/P$56)</f>
        <v>1.930682518653254E-3</v>
      </c>
      <c r="R35" s="120"/>
      <c r="S35" s="120"/>
      <c r="T35" s="110"/>
    </row>
    <row r="36" spans="1:20" s="65" customFormat="1" outlineLevel="1">
      <c r="A36" s="138" t="s">
        <v>301</v>
      </c>
      <c r="B36" s="140"/>
      <c r="C36" s="110"/>
      <c r="D36" s="108"/>
      <c r="E36" s="108"/>
      <c r="F36" s="108"/>
      <c r="G36" s="108"/>
      <c r="H36" s="110"/>
      <c r="I36" s="110"/>
      <c r="J36" s="142"/>
      <c r="K36" s="142"/>
      <c r="L36" s="142"/>
      <c r="M36" s="142"/>
      <c r="N36" s="142"/>
      <c r="O36" s="142"/>
      <c r="P36" s="142"/>
      <c r="Q36" s="137"/>
      <c r="R36" s="120"/>
      <c r="S36" s="120"/>
      <c r="T36" s="110"/>
    </row>
    <row r="37" spans="1:20" s="65" customFormat="1" outlineLevel="1">
      <c r="A37" s="140" t="s">
        <v>301</v>
      </c>
      <c r="B37" s="140" t="s">
        <v>301</v>
      </c>
      <c r="C37" s="110"/>
      <c r="D37" s="110"/>
      <c r="E37" s="110"/>
      <c r="F37" s="110"/>
      <c r="G37" s="110"/>
      <c r="H37" s="110"/>
      <c r="I37" s="110"/>
      <c r="J37" s="142"/>
      <c r="K37" s="142"/>
      <c r="L37" s="142"/>
      <c r="M37" s="142"/>
      <c r="N37" s="142"/>
      <c r="O37" s="142"/>
      <c r="P37" s="142"/>
      <c r="Q37" s="137"/>
      <c r="R37" s="120"/>
      <c r="S37" s="120"/>
      <c r="T37" s="110"/>
    </row>
    <row r="38" spans="1:20" outlineLevel="1">
      <c r="A38" s="105"/>
      <c r="B38" s="106" t="s">
        <v>321</v>
      </c>
      <c r="C38" s="105"/>
      <c r="D38" s="107"/>
      <c r="E38" s="107"/>
      <c r="F38" s="108"/>
      <c r="G38" s="109"/>
      <c r="H38" s="110"/>
      <c r="I38" s="111"/>
      <c r="J38" s="112"/>
      <c r="K38" s="111"/>
      <c r="L38" s="112"/>
      <c r="M38" s="111"/>
      <c r="N38" s="112"/>
      <c r="O38" s="111"/>
      <c r="P38" s="112"/>
      <c r="Q38" s="113"/>
      <c r="R38" s="114"/>
      <c r="S38" s="115"/>
      <c r="T38" s="105"/>
    </row>
    <row r="39" spans="1:20" s="65" customFormat="1" ht="3.75" customHeight="1" outlineLevel="1">
      <c r="A39" s="140" t="s">
        <v>301</v>
      </c>
      <c r="B39" s="138" t="s">
        <v>301</v>
      </c>
      <c r="C39" s="110"/>
      <c r="D39" s="108"/>
      <c r="E39" s="108"/>
      <c r="F39" s="108"/>
      <c r="G39" s="108"/>
      <c r="H39" s="110"/>
      <c r="I39" s="110"/>
      <c r="J39" s="143"/>
      <c r="K39" s="142"/>
      <c r="L39" s="143"/>
      <c r="M39" s="142"/>
      <c r="N39" s="143"/>
      <c r="O39" s="142"/>
      <c r="P39" s="143"/>
      <c r="Q39" s="137"/>
      <c r="R39" s="120"/>
      <c r="S39" s="120"/>
      <c r="T39" s="110"/>
    </row>
    <row r="40" spans="1:20" s="65" customFormat="1">
      <c r="A40" s="140" t="s">
        <v>321</v>
      </c>
      <c r="B40" s="140" t="s">
        <v>301</v>
      </c>
      <c r="C40" s="110"/>
      <c r="D40" s="110"/>
      <c r="E40" s="110"/>
      <c r="F40" s="108" t="s">
        <v>322</v>
      </c>
      <c r="G40" s="110"/>
      <c r="H40" s="110"/>
      <c r="I40" s="110"/>
      <c r="J40" s="141">
        <f>SUM(J37:J39)</f>
        <v>0</v>
      </c>
      <c r="K40" s="142"/>
      <c r="L40" s="141">
        <f>SUM(L37:L39)</f>
        <v>0</v>
      </c>
      <c r="M40" s="142"/>
      <c r="N40" s="141">
        <f>SUM(N37:N39)</f>
        <v>0</v>
      </c>
      <c r="O40" s="142"/>
      <c r="P40" s="141">
        <f>SUM(P37:P39)</f>
        <v>0</v>
      </c>
      <c r="Q40" s="113">
        <f>IF(P$56=0,0,P40/P$56)</f>
        <v>0</v>
      </c>
      <c r="R40" s="120"/>
      <c r="S40" s="120"/>
      <c r="T40" s="110"/>
    </row>
    <row r="41" spans="1:20" s="65" customFormat="1" outlineLevel="1">
      <c r="A41" s="138" t="s">
        <v>301</v>
      </c>
      <c r="B41" s="138" t="s">
        <v>301</v>
      </c>
      <c r="C41" s="110"/>
      <c r="D41" s="110"/>
      <c r="E41" s="110"/>
      <c r="F41" s="110"/>
      <c r="G41" s="110"/>
      <c r="H41" s="110"/>
      <c r="I41" s="110"/>
      <c r="J41" s="142"/>
      <c r="K41" s="142"/>
      <c r="L41" s="142"/>
      <c r="M41" s="142"/>
      <c r="N41" s="142"/>
      <c r="O41" s="142"/>
      <c r="P41" s="142"/>
      <c r="Q41" s="137"/>
      <c r="R41" s="120"/>
      <c r="S41" s="120"/>
      <c r="T41" s="110"/>
    </row>
    <row r="42" spans="1:20" outlineLevel="1">
      <c r="A42" s="105"/>
      <c r="B42" s="106" t="s">
        <v>323</v>
      </c>
      <c r="C42" s="105"/>
      <c r="D42" s="107"/>
      <c r="E42" s="107"/>
      <c r="F42" s="108"/>
      <c r="G42" s="109"/>
      <c r="H42" s="110"/>
      <c r="I42" s="111"/>
      <c r="J42" s="112"/>
      <c r="K42" s="111"/>
      <c r="L42" s="112"/>
      <c r="M42" s="111"/>
      <c r="N42" s="112"/>
      <c r="O42" s="111"/>
      <c r="P42" s="112"/>
      <c r="Q42" s="113"/>
      <c r="R42" s="114"/>
      <c r="S42" s="115"/>
      <c r="T42" s="105"/>
    </row>
    <row r="43" spans="1:20" s="65" customFormat="1" ht="3.75" customHeight="1" outlineLevel="1">
      <c r="A43" s="138" t="s">
        <v>301</v>
      </c>
      <c r="B43" s="138" t="s">
        <v>301</v>
      </c>
      <c r="C43" s="110"/>
      <c r="D43" s="108"/>
      <c r="E43" s="108"/>
      <c r="F43" s="108"/>
      <c r="G43" s="108"/>
      <c r="H43" s="110"/>
      <c r="I43" s="110"/>
      <c r="J43" s="143"/>
      <c r="K43" s="142"/>
      <c r="L43" s="143"/>
      <c r="M43" s="142"/>
      <c r="N43" s="143"/>
      <c r="O43" s="142"/>
      <c r="P43" s="143"/>
      <c r="Q43" s="137"/>
      <c r="R43" s="120"/>
      <c r="S43" s="120"/>
      <c r="T43" s="110"/>
    </row>
    <row r="44" spans="1:20" s="65" customFormat="1">
      <c r="A44" s="140" t="s">
        <v>323</v>
      </c>
      <c r="B44" s="138"/>
      <c r="C44" s="110"/>
      <c r="D44" s="110"/>
      <c r="E44" s="110"/>
      <c r="F44" s="108" t="s">
        <v>324</v>
      </c>
      <c r="G44" s="110"/>
      <c r="H44" s="110"/>
      <c r="I44" s="110"/>
      <c r="J44" s="141">
        <f>SUM(J42:J43)</f>
        <v>0</v>
      </c>
      <c r="K44" s="142"/>
      <c r="L44" s="141">
        <f>SUM(L42:L43)</f>
        <v>0</v>
      </c>
      <c r="M44" s="142"/>
      <c r="N44" s="141">
        <f>SUM(N42:N43)</f>
        <v>0</v>
      </c>
      <c r="O44" s="142"/>
      <c r="P44" s="141">
        <f>SUM(P42:P43)</f>
        <v>0</v>
      </c>
      <c r="Q44" s="113">
        <f>IF(P$56=0,0,P44/P$56)</f>
        <v>0</v>
      </c>
      <c r="R44" s="120"/>
      <c r="S44" s="120"/>
      <c r="T44" s="110"/>
    </row>
    <row r="45" spans="1:20" s="65" customFormat="1" outlineLevel="1">
      <c r="A45" s="138" t="s">
        <v>301</v>
      </c>
      <c r="B45" s="138" t="s">
        <v>301</v>
      </c>
      <c r="C45" s="110"/>
      <c r="D45" s="110"/>
      <c r="E45" s="110"/>
      <c r="F45" s="110"/>
      <c r="G45" s="110"/>
      <c r="H45" s="110"/>
      <c r="I45" s="110"/>
      <c r="J45" s="142"/>
      <c r="K45" s="142"/>
      <c r="L45" s="142"/>
      <c r="M45" s="142"/>
      <c r="N45" s="142"/>
      <c r="O45" s="142"/>
      <c r="P45" s="142"/>
      <c r="Q45" s="137"/>
      <c r="R45" s="120"/>
      <c r="S45" s="120"/>
      <c r="T45" s="110"/>
    </row>
    <row r="46" spans="1:20" outlineLevel="1">
      <c r="A46" s="105"/>
      <c r="B46" s="106" t="s">
        <v>532</v>
      </c>
      <c r="C46" s="105"/>
      <c r="D46" s="107"/>
      <c r="E46" s="107"/>
      <c r="F46" s="108"/>
      <c r="G46" s="109"/>
      <c r="H46" s="110"/>
      <c r="I46" s="111"/>
      <c r="J46" s="112"/>
      <c r="K46" s="111"/>
      <c r="L46" s="112"/>
      <c r="M46" s="111"/>
      <c r="N46" s="112"/>
      <c r="O46" s="111"/>
      <c r="P46" s="112"/>
      <c r="Q46" s="113"/>
      <c r="R46" s="114"/>
      <c r="S46" s="115"/>
      <c r="T46" s="105"/>
    </row>
    <row r="47" spans="1:20" s="65" customFormat="1" ht="3.75" customHeight="1" outlineLevel="1">
      <c r="A47" s="138" t="s">
        <v>301</v>
      </c>
      <c r="B47" s="138" t="s">
        <v>301</v>
      </c>
      <c r="C47" s="110"/>
      <c r="D47" s="108"/>
      <c r="E47" s="108"/>
      <c r="F47" s="108"/>
      <c r="G47" s="108"/>
      <c r="H47" s="110"/>
      <c r="I47" s="110"/>
      <c r="J47" s="143"/>
      <c r="K47" s="142"/>
      <c r="L47" s="143"/>
      <c r="M47" s="142"/>
      <c r="N47" s="143"/>
      <c r="O47" s="142"/>
      <c r="P47" s="143"/>
      <c r="Q47" s="137"/>
      <c r="R47" s="120"/>
      <c r="S47" s="120"/>
      <c r="T47" s="110"/>
    </row>
    <row r="48" spans="1:20" s="65" customFormat="1">
      <c r="A48" s="140" t="s">
        <v>532</v>
      </c>
      <c r="B48" s="138"/>
      <c r="C48" s="110"/>
      <c r="D48" s="110"/>
      <c r="E48" s="110"/>
      <c r="F48" s="108" t="s">
        <v>533</v>
      </c>
      <c r="G48" s="110"/>
      <c r="H48" s="110"/>
      <c r="I48" s="110"/>
      <c r="J48" s="141">
        <f>SUM(J46:J47)</f>
        <v>0</v>
      </c>
      <c r="K48" s="142"/>
      <c r="L48" s="141">
        <f>SUM(L46:L47)</f>
        <v>0</v>
      </c>
      <c r="M48" s="142"/>
      <c r="N48" s="141">
        <f>SUM(N46:N47)</f>
        <v>0</v>
      </c>
      <c r="O48" s="142"/>
      <c r="P48" s="141">
        <f>SUM(P46:P47)</f>
        <v>0</v>
      </c>
      <c r="Q48" s="113">
        <f>IF(P$56=0,0,P48/P$56)</f>
        <v>0</v>
      </c>
      <c r="R48" s="120"/>
      <c r="S48" s="120"/>
      <c r="T48" s="110"/>
    </row>
    <row r="49" spans="1:20" s="65" customFormat="1" outlineLevel="1">
      <c r="A49" s="138" t="s">
        <v>301</v>
      </c>
      <c r="B49" s="138"/>
      <c r="C49" s="110"/>
      <c r="D49" s="110"/>
      <c r="E49" s="110"/>
      <c r="F49" s="110"/>
      <c r="G49" s="110"/>
      <c r="H49" s="110"/>
      <c r="I49" s="110"/>
      <c r="J49" s="142"/>
      <c r="K49" s="142"/>
      <c r="L49" s="142"/>
      <c r="M49" s="142"/>
      <c r="N49" s="142"/>
      <c r="O49" s="142"/>
      <c r="P49" s="142"/>
      <c r="Q49" s="137"/>
      <c r="R49" s="120"/>
      <c r="S49" s="120"/>
      <c r="T49" s="110"/>
    </row>
    <row r="50" spans="1:20" s="65" customFormat="1" outlineLevel="1">
      <c r="A50" s="138"/>
      <c r="B50" s="138" t="s">
        <v>301</v>
      </c>
      <c r="C50" s="110"/>
      <c r="D50" s="110"/>
      <c r="E50" s="110"/>
      <c r="F50" s="110"/>
      <c r="G50" s="110"/>
      <c r="H50" s="110"/>
      <c r="I50" s="110"/>
      <c r="J50" s="142"/>
      <c r="K50" s="142"/>
      <c r="L50" s="142"/>
      <c r="M50" s="142"/>
      <c r="N50" s="142"/>
      <c r="O50" s="142"/>
      <c r="P50" s="142"/>
      <c r="Q50" s="137"/>
      <c r="R50" s="120"/>
      <c r="S50" s="120"/>
      <c r="T50" s="110"/>
    </row>
    <row r="51" spans="1:20" outlineLevel="1">
      <c r="A51" s="105"/>
      <c r="B51" s="106" t="s">
        <v>325</v>
      </c>
      <c r="C51" s="105"/>
      <c r="D51" s="107">
        <v>38000</v>
      </c>
      <c r="E51" s="107" t="s">
        <v>326</v>
      </c>
      <c r="F51" s="108"/>
      <c r="G51" s="109"/>
      <c r="H51" s="110"/>
      <c r="I51" s="111"/>
      <c r="J51" s="112">
        <v>303.06</v>
      </c>
      <c r="K51" s="111"/>
      <c r="L51" s="112">
        <v>255.19</v>
      </c>
      <c r="M51" s="111"/>
      <c r="N51" s="112">
        <v>256.79000000000002</v>
      </c>
      <c r="O51" s="111"/>
      <c r="P51" s="112">
        <v>2421.02</v>
      </c>
      <c r="Q51" s="113">
        <f t="shared" ref="Q51:Q52" si="2">IF(P$56=0,0,P51/P$56)</f>
        <v>1.6383816720622168E-3</v>
      </c>
      <c r="R51" s="114"/>
      <c r="S51" s="115"/>
      <c r="T51" s="105"/>
    </row>
    <row r="52" spans="1:20" outlineLevel="1">
      <c r="A52" s="105"/>
      <c r="B52" s="106" t="s">
        <v>308</v>
      </c>
      <c r="C52" s="105"/>
      <c r="D52" s="107">
        <v>38001</v>
      </c>
      <c r="E52" s="107" t="s">
        <v>534</v>
      </c>
      <c r="F52" s="108"/>
      <c r="G52" s="109"/>
      <c r="H52" s="110"/>
      <c r="I52" s="111"/>
      <c r="J52" s="112">
        <v>170.66</v>
      </c>
      <c r="K52" s="111"/>
      <c r="L52" s="112">
        <v>142.93</v>
      </c>
      <c r="M52" s="111"/>
      <c r="N52" s="112">
        <v>135.84</v>
      </c>
      <c r="O52" s="111"/>
      <c r="P52" s="112">
        <v>1455.2</v>
      </c>
      <c r="Q52" s="113">
        <f t="shared" si="2"/>
        <v>9.8478038561636738E-4</v>
      </c>
      <c r="R52" s="114"/>
      <c r="S52" s="115"/>
      <c r="T52" s="105"/>
    </row>
    <row r="53" spans="1:20" s="65" customFormat="1" ht="4.5" customHeight="1" outlineLevel="1">
      <c r="A53" s="138" t="s">
        <v>301</v>
      </c>
      <c r="B53" s="138" t="s">
        <v>301</v>
      </c>
      <c r="C53" s="110"/>
      <c r="D53" s="144"/>
      <c r="E53" s="110"/>
      <c r="F53" s="110"/>
      <c r="G53" s="110"/>
      <c r="H53" s="110"/>
      <c r="I53" s="110"/>
      <c r="J53" s="143"/>
      <c r="K53" s="142"/>
      <c r="L53" s="143"/>
      <c r="M53" s="142"/>
      <c r="N53" s="143"/>
      <c r="O53" s="142"/>
      <c r="P53" s="143"/>
      <c r="Q53" s="137"/>
      <c r="R53" s="120"/>
      <c r="S53" s="120"/>
      <c r="T53" s="110"/>
    </row>
    <row r="54" spans="1:20" s="65" customFormat="1">
      <c r="A54" s="140" t="s">
        <v>325</v>
      </c>
      <c r="B54" s="138" t="s">
        <v>301</v>
      </c>
      <c r="C54" s="110"/>
      <c r="D54" s="110"/>
      <c r="E54" s="110"/>
      <c r="F54" s="110" t="s">
        <v>326</v>
      </c>
      <c r="G54" s="110"/>
      <c r="H54" s="110"/>
      <c r="I54" s="110"/>
      <c r="J54" s="141">
        <f>SUM(J50:J53)</f>
        <v>473.72</v>
      </c>
      <c r="K54" s="142"/>
      <c r="L54" s="141">
        <f>SUM(L50:L53)</f>
        <v>398.12</v>
      </c>
      <c r="M54" s="142"/>
      <c r="N54" s="141">
        <f>SUM(N50:N53)</f>
        <v>392.63</v>
      </c>
      <c r="O54" s="142"/>
      <c r="P54" s="141">
        <f>SUM(P50:P53)</f>
        <v>3876.2200000000003</v>
      </c>
      <c r="Q54" s="113">
        <f>IF(P$56=0,0,P54/P$56)</f>
        <v>2.6231620576785846E-3</v>
      </c>
      <c r="R54" s="120"/>
      <c r="S54" s="120"/>
      <c r="T54" s="110"/>
    </row>
    <row r="55" spans="1:20" s="65" customFormat="1" ht="7.5" customHeight="1">
      <c r="A55" s="138" t="s">
        <v>301</v>
      </c>
      <c r="B55" s="138" t="s">
        <v>301</v>
      </c>
      <c r="C55" s="110"/>
      <c r="D55" s="110"/>
      <c r="E55" s="110"/>
      <c r="F55" s="110"/>
      <c r="G55" s="110"/>
      <c r="H55" s="110"/>
      <c r="I55" s="110"/>
      <c r="J55" s="142"/>
      <c r="K55" s="142"/>
      <c r="L55" s="142"/>
      <c r="M55" s="142"/>
      <c r="N55" s="142"/>
      <c r="O55" s="142"/>
      <c r="P55" s="142"/>
      <c r="Q55" s="137"/>
      <c r="R55" s="120"/>
      <c r="S55" s="120"/>
      <c r="T55" s="110"/>
    </row>
    <row r="56" spans="1:20" s="65" customFormat="1">
      <c r="A56" s="138" t="s">
        <v>301</v>
      </c>
      <c r="B56" s="138" t="s">
        <v>301</v>
      </c>
      <c r="C56" s="110"/>
      <c r="D56" s="110"/>
      <c r="E56" s="145" t="s">
        <v>4</v>
      </c>
      <c r="F56" s="110"/>
      <c r="G56" s="110"/>
      <c r="H56" s="110"/>
      <c r="I56" s="110"/>
      <c r="J56" s="146">
        <f>+J29+J35+J40+J54+J25+J44+J48</f>
        <v>254278.04999999996</v>
      </c>
      <c r="K56" s="142"/>
      <c r="L56" s="146">
        <f>+L29+L35+L40+L54+L25+L44+L48</f>
        <v>246214.62</v>
      </c>
      <c r="M56" s="142"/>
      <c r="N56" s="146">
        <f>+N29+N35+N40+N54+N25+N44+N48</f>
        <v>262461.48</v>
      </c>
      <c r="O56" s="142"/>
      <c r="P56" s="146">
        <f>+P29+P35+P40+P54+P25+P44+P48</f>
        <v>1477689.87</v>
      </c>
      <c r="Q56" s="113">
        <f>IF(P$56=0,0,P56/P$56)</f>
        <v>1</v>
      </c>
      <c r="R56" s="120"/>
      <c r="S56" s="120"/>
      <c r="T56" s="110"/>
    </row>
    <row r="57" spans="1:20" s="65" customFormat="1" ht="7.5" customHeight="1">
      <c r="A57" s="138" t="s">
        <v>301</v>
      </c>
      <c r="B57" s="138" t="s">
        <v>301</v>
      </c>
      <c r="C57" s="110"/>
      <c r="D57" s="110"/>
      <c r="E57" s="110"/>
      <c r="F57" s="110"/>
      <c r="G57" s="110"/>
      <c r="H57" s="110"/>
      <c r="I57" s="110"/>
      <c r="J57" s="142"/>
      <c r="K57" s="142"/>
      <c r="L57" s="142"/>
      <c r="M57" s="142"/>
      <c r="N57" s="142"/>
      <c r="O57" s="142"/>
      <c r="P57" s="142"/>
      <c r="Q57" s="137"/>
      <c r="R57" s="120"/>
      <c r="S57" s="120"/>
      <c r="T57" s="110"/>
    </row>
    <row r="58" spans="1:20" s="65" customFormat="1" outlineLevel="1">
      <c r="A58" s="138" t="s">
        <v>301</v>
      </c>
      <c r="B58" s="138"/>
      <c r="C58" s="110"/>
      <c r="D58" s="110"/>
      <c r="E58" s="110"/>
      <c r="F58" s="110"/>
      <c r="G58" s="110"/>
      <c r="H58" s="110"/>
      <c r="I58" s="110"/>
      <c r="J58" s="142"/>
      <c r="K58" s="142"/>
      <c r="L58" s="142"/>
      <c r="M58" s="142"/>
      <c r="N58" s="142"/>
      <c r="O58" s="142"/>
      <c r="P58" s="142"/>
      <c r="Q58" s="137"/>
      <c r="R58" s="120"/>
      <c r="S58" s="120"/>
      <c r="T58" s="110"/>
    </row>
    <row r="59" spans="1:20" outlineLevel="1">
      <c r="A59" s="105"/>
      <c r="B59" s="106" t="s">
        <v>327</v>
      </c>
      <c r="C59" s="105"/>
      <c r="D59" s="107">
        <v>40101</v>
      </c>
      <c r="E59" s="107" t="s">
        <v>328</v>
      </c>
      <c r="F59" s="108"/>
      <c r="G59" s="109"/>
      <c r="H59" s="110"/>
      <c r="I59" s="111"/>
      <c r="J59" s="112">
        <v>58760.04</v>
      </c>
      <c r="K59" s="111"/>
      <c r="L59" s="112">
        <v>60583.62</v>
      </c>
      <c r="M59" s="111"/>
      <c r="N59" s="112">
        <v>1728.98</v>
      </c>
      <c r="O59" s="111"/>
      <c r="P59" s="112">
        <v>293489.86</v>
      </c>
      <c r="Q59" s="113">
        <f t="shared" ref="Q59:Q61" si="3">IF(P$56=0,0,P59/P$56)</f>
        <v>0.19861397574580381</v>
      </c>
      <c r="R59" s="114"/>
      <c r="S59" s="115"/>
      <c r="T59" s="105"/>
    </row>
    <row r="60" spans="1:20" outlineLevel="1">
      <c r="A60" s="105"/>
      <c r="B60" s="106" t="s">
        <v>308</v>
      </c>
      <c r="C60" s="105"/>
      <c r="D60" s="107">
        <v>40121</v>
      </c>
      <c r="E60" s="107" t="s">
        <v>329</v>
      </c>
      <c r="F60" s="108"/>
      <c r="G60" s="109"/>
      <c r="H60" s="110"/>
      <c r="I60" s="111"/>
      <c r="J60" s="112">
        <v>5710.51</v>
      </c>
      <c r="K60" s="111"/>
      <c r="L60" s="112">
        <v>5082.58</v>
      </c>
      <c r="M60" s="111"/>
      <c r="N60" s="112">
        <v>5165.8</v>
      </c>
      <c r="O60" s="111"/>
      <c r="P60" s="112">
        <v>29627.55</v>
      </c>
      <c r="Q60" s="113">
        <f t="shared" si="3"/>
        <v>2.0049910743449841E-2</v>
      </c>
      <c r="R60" s="114"/>
      <c r="S60" s="115"/>
      <c r="T60" s="105"/>
    </row>
    <row r="61" spans="1:20" outlineLevel="1">
      <c r="A61" s="105"/>
      <c r="B61" s="106" t="s">
        <v>308</v>
      </c>
      <c r="C61" s="105"/>
      <c r="D61" s="107">
        <v>40131</v>
      </c>
      <c r="E61" s="107" t="s">
        <v>535</v>
      </c>
      <c r="F61" s="108"/>
      <c r="G61" s="109"/>
      <c r="H61" s="110"/>
      <c r="I61" s="111"/>
      <c r="J61" s="112">
        <v>12555.03</v>
      </c>
      <c r="K61" s="111"/>
      <c r="L61" s="112">
        <v>12481.49</v>
      </c>
      <c r="M61" s="111"/>
      <c r="N61" s="112">
        <v>1729.32</v>
      </c>
      <c r="O61" s="111"/>
      <c r="P61" s="112">
        <v>60163.8</v>
      </c>
      <c r="Q61" s="113">
        <f t="shared" si="3"/>
        <v>4.0714767842321337E-2</v>
      </c>
      <c r="R61" s="114"/>
      <c r="S61" s="115"/>
      <c r="T61" s="105"/>
    </row>
    <row r="62" spans="1:20" s="65" customFormat="1" ht="5.0999999999999996" customHeight="1" outlineLevel="1">
      <c r="A62" s="138"/>
      <c r="B62" s="138" t="s">
        <v>301</v>
      </c>
      <c r="C62" s="110"/>
      <c r="D62" s="108"/>
      <c r="E62" s="108"/>
      <c r="F62" s="108"/>
      <c r="G62" s="108"/>
      <c r="H62" s="110"/>
      <c r="I62" s="110"/>
      <c r="J62" s="143"/>
      <c r="K62" s="142"/>
      <c r="L62" s="143"/>
      <c r="M62" s="142"/>
      <c r="N62" s="143"/>
      <c r="O62" s="142"/>
      <c r="P62" s="143"/>
      <c r="Q62" s="137"/>
      <c r="R62" s="120"/>
      <c r="S62" s="120"/>
      <c r="T62" s="110"/>
    </row>
    <row r="63" spans="1:20" s="65" customFormat="1">
      <c r="A63" s="140" t="s">
        <v>327</v>
      </c>
      <c r="B63" s="138" t="s">
        <v>301</v>
      </c>
      <c r="C63" s="110"/>
      <c r="D63" s="110"/>
      <c r="E63" s="110"/>
      <c r="F63" s="108" t="s">
        <v>330</v>
      </c>
      <c r="G63" s="110"/>
      <c r="H63" s="110"/>
      <c r="I63" s="110"/>
      <c r="J63" s="141">
        <f>SUM(J58:J62)</f>
        <v>77025.58</v>
      </c>
      <c r="K63" s="142"/>
      <c r="L63" s="141">
        <f>SUM(L58:L62)</f>
        <v>78147.69</v>
      </c>
      <c r="M63" s="142"/>
      <c r="N63" s="141">
        <f>SUM(N58:N62)</f>
        <v>8624.1</v>
      </c>
      <c r="O63" s="142"/>
      <c r="P63" s="141">
        <f>SUM(P58:P62)</f>
        <v>383281.20999999996</v>
      </c>
      <c r="Q63" s="113">
        <f>IF(P$56=0,0,P63/P$56)</f>
        <v>0.25937865433157498</v>
      </c>
      <c r="R63" s="120"/>
      <c r="S63" s="120"/>
      <c r="T63" s="110"/>
    </row>
    <row r="64" spans="1:20" s="65" customFormat="1" outlineLevel="1">
      <c r="A64" s="138" t="s">
        <v>301</v>
      </c>
      <c r="B64" s="138"/>
      <c r="C64" s="110"/>
      <c r="D64" s="110"/>
      <c r="E64" s="110"/>
      <c r="F64" s="110"/>
      <c r="G64" s="110"/>
      <c r="H64" s="110"/>
      <c r="I64" s="110"/>
      <c r="J64" s="142"/>
      <c r="K64" s="142"/>
      <c r="L64" s="142"/>
      <c r="M64" s="142"/>
      <c r="N64" s="142"/>
      <c r="O64" s="142"/>
      <c r="P64" s="142"/>
      <c r="Q64" s="137"/>
      <c r="R64" s="120"/>
      <c r="S64" s="120"/>
      <c r="T64" s="110"/>
    </row>
    <row r="65" spans="1:20" outlineLevel="1">
      <c r="A65" s="105"/>
      <c r="B65" s="106" t="s">
        <v>331</v>
      </c>
      <c r="C65" s="105"/>
      <c r="D65" s="107"/>
      <c r="E65" s="107"/>
      <c r="F65" s="108"/>
      <c r="G65" s="109"/>
      <c r="H65" s="110"/>
      <c r="I65" s="111"/>
      <c r="J65" s="112"/>
      <c r="K65" s="111"/>
      <c r="L65" s="112"/>
      <c r="M65" s="111"/>
      <c r="N65" s="112"/>
      <c r="O65" s="111"/>
      <c r="P65" s="112"/>
      <c r="Q65" s="113"/>
      <c r="R65" s="114"/>
      <c r="S65" s="115"/>
      <c r="T65" s="105"/>
    </row>
    <row r="66" spans="1:20" s="65" customFormat="1" ht="4.5" customHeight="1" outlineLevel="1">
      <c r="A66" s="138"/>
      <c r="B66" s="147" t="s">
        <v>301</v>
      </c>
      <c r="C66" s="110"/>
      <c r="D66" s="144"/>
      <c r="E66" s="110"/>
      <c r="F66" s="110"/>
      <c r="G66" s="110"/>
      <c r="H66" s="110"/>
      <c r="I66" s="110"/>
      <c r="J66" s="143"/>
      <c r="K66" s="142"/>
      <c r="L66" s="143"/>
      <c r="M66" s="142"/>
      <c r="N66" s="143"/>
      <c r="O66" s="142"/>
      <c r="P66" s="143"/>
      <c r="Q66" s="137"/>
      <c r="R66" s="120"/>
      <c r="S66" s="120"/>
      <c r="T66" s="110"/>
    </row>
    <row r="67" spans="1:20" s="65" customFormat="1">
      <c r="A67" s="140" t="s">
        <v>331</v>
      </c>
      <c r="B67" s="138" t="s">
        <v>301</v>
      </c>
      <c r="C67" s="110"/>
      <c r="D67" s="110"/>
      <c r="E67" s="110"/>
      <c r="F67" s="110" t="s">
        <v>332</v>
      </c>
      <c r="G67" s="110"/>
      <c r="H67" s="110"/>
      <c r="I67" s="110"/>
      <c r="J67" s="141">
        <f>SUM(J65:J66)</f>
        <v>0</v>
      </c>
      <c r="K67" s="142"/>
      <c r="L67" s="141">
        <f>SUM(L65:L66)</f>
        <v>0</v>
      </c>
      <c r="M67" s="142"/>
      <c r="N67" s="141">
        <f>SUM(N65:N66)</f>
        <v>0</v>
      </c>
      <c r="O67" s="142"/>
      <c r="P67" s="141">
        <f>SUM(P65:P66)</f>
        <v>0</v>
      </c>
      <c r="Q67" s="113">
        <f>IF(P$56=0,0,P67/P$56)</f>
        <v>0</v>
      </c>
      <c r="R67" s="120"/>
      <c r="S67" s="120"/>
      <c r="T67" s="110"/>
    </row>
    <row r="68" spans="1:20" s="65" customFormat="1" outlineLevel="1">
      <c r="A68" s="148" t="s">
        <v>301</v>
      </c>
      <c r="B68" s="138"/>
      <c r="C68" s="110"/>
      <c r="D68" s="110"/>
      <c r="E68" s="110"/>
      <c r="F68" s="110"/>
      <c r="G68" s="110"/>
      <c r="H68" s="110"/>
      <c r="I68" s="110"/>
      <c r="J68" s="142"/>
      <c r="K68" s="142"/>
      <c r="L68" s="142"/>
      <c r="M68" s="142"/>
      <c r="N68" s="142"/>
      <c r="O68" s="142"/>
      <c r="P68" s="142"/>
      <c r="Q68" s="137"/>
      <c r="R68" s="120"/>
      <c r="S68" s="120"/>
      <c r="T68" s="110"/>
    </row>
    <row r="69" spans="1:20" s="65" customFormat="1" outlineLevel="1">
      <c r="A69" s="138" t="s">
        <v>301</v>
      </c>
      <c r="B69" s="138" t="s">
        <v>301</v>
      </c>
      <c r="C69" s="110"/>
      <c r="D69" s="110"/>
      <c r="E69" s="110"/>
      <c r="F69" s="110"/>
      <c r="G69" s="110"/>
      <c r="H69" s="110"/>
      <c r="I69" s="110"/>
      <c r="J69" s="142"/>
      <c r="K69" s="142"/>
      <c r="L69" s="142"/>
      <c r="M69" s="142"/>
      <c r="N69" s="142"/>
      <c r="O69" s="142"/>
      <c r="P69" s="142"/>
      <c r="Q69" s="137"/>
      <c r="R69" s="120"/>
      <c r="S69" s="120"/>
      <c r="T69" s="110"/>
    </row>
    <row r="70" spans="1:20" outlineLevel="1">
      <c r="A70" s="105"/>
      <c r="B70" s="106" t="s">
        <v>333</v>
      </c>
      <c r="C70" s="105"/>
      <c r="D70" s="107">
        <v>41201</v>
      </c>
      <c r="E70" s="107" t="s">
        <v>334</v>
      </c>
      <c r="F70" s="108"/>
      <c r="G70" s="109"/>
      <c r="H70" s="110"/>
      <c r="I70" s="111"/>
      <c r="J70" s="112">
        <v>2392.35</v>
      </c>
      <c r="K70" s="111"/>
      <c r="L70" s="112">
        <v>2438.9299999999998</v>
      </c>
      <c r="M70" s="111"/>
      <c r="N70" s="112">
        <v>2514.0700000000002</v>
      </c>
      <c r="O70" s="111"/>
      <c r="P70" s="112">
        <v>14520.31</v>
      </c>
      <c r="Q70" s="113">
        <f t="shared" ref="Q70:Q72" si="4">IF(P$56=0,0,P70/P$56)</f>
        <v>9.8263582195362801E-3</v>
      </c>
      <c r="R70" s="114"/>
      <c r="S70" s="115"/>
      <c r="T70" s="105"/>
    </row>
    <row r="71" spans="1:20" outlineLevel="1">
      <c r="A71" s="105"/>
      <c r="B71" s="106" t="s">
        <v>308</v>
      </c>
      <c r="C71" s="105"/>
      <c r="D71" s="107">
        <v>43001</v>
      </c>
      <c r="E71" s="107" t="s">
        <v>335</v>
      </c>
      <c r="F71" s="108"/>
      <c r="G71" s="109"/>
      <c r="H71" s="110"/>
      <c r="I71" s="111"/>
      <c r="J71" s="112">
        <v>3813.05</v>
      </c>
      <c r="K71" s="111"/>
      <c r="L71" s="112">
        <v>3873.44</v>
      </c>
      <c r="M71" s="111"/>
      <c r="N71" s="112">
        <v>-64.47</v>
      </c>
      <c r="O71" s="111"/>
      <c r="P71" s="112">
        <v>18589.349999999999</v>
      </c>
      <c r="Q71" s="113">
        <f t="shared" si="4"/>
        <v>1.2580007738700948E-2</v>
      </c>
      <c r="R71" s="114"/>
      <c r="S71" s="115"/>
      <c r="T71" s="105"/>
    </row>
    <row r="72" spans="1:20" outlineLevel="1">
      <c r="A72" s="105"/>
      <c r="B72" s="106" t="s">
        <v>308</v>
      </c>
      <c r="C72" s="105"/>
      <c r="D72" s="107">
        <v>43002</v>
      </c>
      <c r="E72" s="107" t="s">
        <v>336</v>
      </c>
      <c r="F72" s="108"/>
      <c r="G72" s="109"/>
      <c r="H72" s="110"/>
      <c r="I72" s="111"/>
      <c r="J72" s="112">
        <v>744</v>
      </c>
      <c r="K72" s="111"/>
      <c r="L72" s="112">
        <v>1113.81</v>
      </c>
      <c r="M72" s="111"/>
      <c r="N72" s="112">
        <v>771</v>
      </c>
      <c r="O72" s="111"/>
      <c r="P72" s="112">
        <v>5614.81</v>
      </c>
      <c r="Q72" s="113">
        <f t="shared" si="4"/>
        <v>3.7997215207274853E-3</v>
      </c>
      <c r="R72" s="114"/>
      <c r="S72" s="115"/>
      <c r="T72" s="105"/>
    </row>
    <row r="73" spans="1:20" s="65" customFormat="1" ht="5.0999999999999996" customHeight="1" outlineLevel="1">
      <c r="A73" s="138" t="s">
        <v>301</v>
      </c>
      <c r="B73" s="140" t="s">
        <v>301</v>
      </c>
      <c r="C73" s="110"/>
      <c r="D73" s="108"/>
      <c r="E73" s="108"/>
      <c r="F73" s="108"/>
      <c r="G73" s="108"/>
      <c r="H73" s="110"/>
      <c r="I73" s="110"/>
      <c r="J73" s="143"/>
      <c r="K73" s="142"/>
      <c r="L73" s="143"/>
      <c r="M73" s="142"/>
      <c r="N73" s="143"/>
      <c r="O73" s="142"/>
      <c r="P73" s="143"/>
      <c r="Q73" s="137"/>
      <c r="R73" s="120"/>
      <c r="S73" s="120"/>
      <c r="T73" s="110"/>
    </row>
    <row r="74" spans="1:20" s="65" customFormat="1">
      <c r="A74" s="140" t="s">
        <v>333</v>
      </c>
      <c r="B74" s="138" t="s">
        <v>301</v>
      </c>
      <c r="C74" s="110"/>
      <c r="D74" s="110"/>
      <c r="E74" s="110"/>
      <c r="F74" s="108" t="s">
        <v>337</v>
      </c>
      <c r="G74" s="149"/>
      <c r="H74" s="149"/>
      <c r="I74" s="149"/>
      <c r="J74" s="141">
        <f>SUM(J69:J73)</f>
        <v>6949.4</v>
      </c>
      <c r="K74" s="142"/>
      <c r="L74" s="141">
        <f>SUM(L69:L73)</f>
        <v>7426.18</v>
      </c>
      <c r="M74" s="142"/>
      <c r="N74" s="141">
        <f>SUM(N69:N73)</f>
        <v>3220.6000000000004</v>
      </c>
      <c r="O74" s="142"/>
      <c r="P74" s="141">
        <f>SUM(P69:P73)</f>
        <v>38724.469999999994</v>
      </c>
      <c r="Q74" s="113">
        <f>IF(P$56=0,0,P74/P$56)</f>
        <v>2.6206087478964711E-2</v>
      </c>
      <c r="R74" s="120"/>
      <c r="S74" s="120"/>
      <c r="T74" s="110"/>
    </row>
    <row r="75" spans="1:20" s="65" customFormat="1" outlineLevel="1">
      <c r="A75" s="140" t="s">
        <v>301</v>
      </c>
      <c r="B75" s="138"/>
      <c r="C75" s="110"/>
      <c r="D75" s="110"/>
      <c r="E75" s="110"/>
      <c r="F75" s="110"/>
      <c r="G75" s="110"/>
      <c r="H75" s="110"/>
      <c r="I75" s="110"/>
      <c r="J75" s="142"/>
      <c r="K75" s="142"/>
      <c r="L75" s="142"/>
      <c r="M75" s="142"/>
      <c r="N75" s="142"/>
      <c r="O75" s="142"/>
      <c r="P75" s="142"/>
      <c r="Q75" s="137"/>
      <c r="R75" s="120"/>
      <c r="S75" s="120"/>
      <c r="T75" s="110"/>
    </row>
    <row r="76" spans="1:20" s="65" customFormat="1" outlineLevel="1">
      <c r="A76" s="138" t="s">
        <v>301</v>
      </c>
      <c r="B76" s="138" t="s">
        <v>301</v>
      </c>
      <c r="C76" s="110"/>
      <c r="D76" s="110"/>
      <c r="E76" s="110"/>
      <c r="F76" s="110"/>
      <c r="G76" s="110"/>
      <c r="H76" s="110"/>
      <c r="I76" s="110"/>
      <c r="J76" s="142"/>
      <c r="K76" s="142"/>
      <c r="L76" s="142"/>
      <c r="M76" s="142"/>
      <c r="N76" s="142"/>
      <c r="O76" s="142"/>
      <c r="P76" s="142"/>
      <c r="Q76" s="137"/>
      <c r="R76" s="120"/>
      <c r="S76" s="120"/>
      <c r="T76" s="110"/>
    </row>
    <row r="77" spans="1:20" outlineLevel="1">
      <c r="A77" s="105"/>
      <c r="B77" s="106" t="s">
        <v>338</v>
      </c>
      <c r="C77" s="105"/>
      <c r="D77" s="107">
        <v>44161</v>
      </c>
      <c r="E77" s="107" t="s">
        <v>501</v>
      </c>
      <c r="F77" s="108"/>
      <c r="G77" s="109"/>
      <c r="H77" s="110"/>
      <c r="I77" s="111"/>
      <c r="J77" s="112">
        <v>724.8</v>
      </c>
      <c r="K77" s="111"/>
      <c r="L77" s="112">
        <v>775.2</v>
      </c>
      <c r="M77" s="111"/>
      <c r="N77" s="112">
        <v>0</v>
      </c>
      <c r="O77" s="111"/>
      <c r="P77" s="112">
        <v>3662.1</v>
      </c>
      <c r="Q77" s="113">
        <f t="shared" ref="Q77:Q78" si="5">IF(P$56=0,0,P77/P$56)</f>
        <v>2.4782602048967145E-3</v>
      </c>
      <c r="R77" s="114"/>
      <c r="S77" s="115"/>
      <c r="T77" s="105"/>
    </row>
    <row r="78" spans="1:20" outlineLevel="1">
      <c r="A78" s="105"/>
      <c r="B78" s="106" t="s">
        <v>308</v>
      </c>
      <c r="C78" s="105"/>
      <c r="D78" s="107">
        <v>44168</v>
      </c>
      <c r="E78" s="107" t="s">
        <v>502</v>
      </c>
      <c r="F78" s="108"/>
      <c r="G78" s="109"/>
      <c r="H78" s="110"/>
      <c r="I78" s="111"/>
      <c r="J78" s="112">
        <v>330.69</v>
      </c>
      <c r="K78" s="111"/>
      <c r="L78" s="112">
        <v>277.68</v>
      </c>
      <c r="M78" s="111"/>
      <c r="N78" s="112">
        <v>0</v>
      </c>
      <c r="O78" s="111"/>
      <c r="P78" s="112">
        <v>1897.16</v>
      </c>
      <c r="Q78" s="113">
        <f t="shared" si="5"/>
        <v>1.2838688540241531E-3</v>
      </c>
      <c r="R78" s="114"/>
      <c r="S78" s="115"/>
      <c r="T78" s="105"/>
    </row>
    <row r="79" spans="1:20" s="65" customFormat="1" ht="5.0999999999999996" customHeight="1" outlineLevel="1">
      <c r="A79" s="138" t="s">
        <v>301</v>
      </c>
      <c r="B79" s="140" t="s">
        <v>301</v>
      </c>
      <c r="C79" s="110"/>
      <c r="D79" s="108"/>
      <c r="E79" s="108"/>
      <c r="F79" s="108"/>
      <c r="G79" s="108"/>
      <c r="H79" s="110"/>
      <c r="I79" s="110"/>
      <c r="J79" s="143"/>
      <c r="K79" s="142"/>
      <c r="L79" s="143"/>
      <c r="M79" s="142"/>
      <c r="N79" s="143"/>
      <c r="O79" s="142"/>
      <c r="P79" s="143"/>
      <c r="Q79" s="137"/>
      <c r="R79" s="120"/>
      <c r="S79" s="120"/>
      <c r="T79" s="110"/>
    </row>
    <row r="80" spans="1:20" s="65" customFormat="1">
      <c r="A80" s="140" t="s">
        <v>338</v>
      </c>
      <c r="B80" s="140" t="s">
        <v>301</v>
      </c>
      <c r="C80" s="110"/>
      <c r="D80" s="110"/>
      <c r="E80" s="110"/>
      <c r="F80" s="108" t="s">
        <v>339</v>
      </c>
      <c r="G80" s="149"/>
      <c r="H80" s="149"/>
      <c r="I80" s="149"/>
      <c r="J80" s="141">
        <f>SUM(J76:J79)</f>
        <v>1055.49</v>
      </c>
      <c r="K80" s="142"/>
      <c r="L80" s="141">
        <f>SUM(L76:L79)</f>
        <v>1052.8800000000001</v>
      </c>
      <c r="M80" s="142"/>
      <c r="N80" s="141">
        <f>SUM(N76:N79)</f>
        <v>0</v>
      </c>
      <c r="O80" s="142"/>
      <c r="P80" s="141">
        <f>SUM(P76:P79)</f>
        <v>5559.26</v>
      </c>
      <c r="Q80" s="113">
        <f>IF(P$56=0,0,P80/P$56)</f>
        <v>3.7621290589208681E-3</v>
      </c>
      <c r="R80" s="120"/>
      <c r="S80" s="120"/>
      <c r="T80" s="110"/>
    </row>
    <row r="81" spans="1:20" s="65" customFormat="1" outlineLevel="1">
      <c r="A81" s="140" t="s">
        <v>301</v>
      </c>
      <c r="B81" s="138" t="s">
        <v>301</v>
      </c>
      <c r="C81" s="110"/>
      <c r="D81" s="110"/>
      <c r="E81" s="110"/>
      <c r="F81" s="110"/>
      <c r="G81" s="110"/>
      <c r="H81" s="110"/>
      <c r="I81" s="110"/>
      <c r="J81" s="142"/>
      <c r="K81" s="142"/>
      <c r="L81" s="142"/>
      <c r="M81" s="142"/>
      <c r="N81" s="142"/>
      <c r="O81" s="142"/>
      <c r="P81" s="142"/>
      <c r="Q81" s="137"/>
      <c r="R81" s="120"/>
      <c r="S81" s="120"/>
      <c r="T81" s="110"/>
    </row>
    <row r="82" spans="1:20" outlineLevel="1">
      <c r="A82" s="105"/>
      <c r="B82" s="106" t="s">
        <v>340</v>
      </c>
      <c r="C82" s="105"/>
      <c r="D82" s="107"/>
      <c r="E82" s="107"/>
      <c r="F82" s="108"/>
      <c r="G82" s="109"/>
      <c r="H82" s="110"/>
      <c r="I82" s="111"/>
      <c r="J82" s="112"/>
      <c r="K82" s="111"/>
      <c r="L82" s="112"/>
      <c r="M82" s="111"/>
      <c r="N82" s="112"/>
      <c r="O82" s="111"/>
      <c r="P82" s="112"/>
      <c r="Q82" s="113"/>
      <c r="R82" s="114"/>
      <c r="S82" s="115"/>
      <c r="T82" s="105"/>
    </row>
    <row r="83" spans="1:20" s="65" customFormat="1" ht="4.5" customHeight="1" outlineLevel="1">
      <c r="A83" s="138" t="s">
        <v>301</v>
      </c>
      <c r="B83" s="147" t="s">
        <v>301</v>
      </c>
      <c r="C83" s="110"/>
      <c r="D83" s="144"/>
      <c r="E83" s="110"/>
      <c r="F83" s="110"/>
      <c r="G83" s="110"/>
      <c r="H83" s="110"/>
      <c r="I83" s="110"/>
      <c r="J83" s="143"/>
      <c r="K83" s="142"/>
      <c r="L83" s="143"/>
      <c r="M83" s="142"/>
      <c r="N83" s="143"/>
      <c r="O83" s="142"/>
      <c r="P83" s="143"/>
      <c r="Q83" s="137"/>
      <c r="R83" s="120"/>
      <c r="S83" s="120"/>
      <c r="T83" s="110"/>
    </row>
    <row r="84" spans="1:20" s="65" customFormat="1">
      <c r="A84" s="140" t="s">
        <v>340</v>
      </c>
      <c r="B84" s="138" t="s">
        <v>301</v>
      </c>
      <c r="C84" s="110"/>
      <c r="D84" s="110"/>
      <c r="E84" s="110"/>
      <c r="F84" s="110" t="s">
        <v>341</v>
      </c>
      <c r="G84" s="110"/>
      <c r="H84" s="110"/>
      <c r="I84" s="110"/>
      <c r="J84" s="141">
        <f>SUM(J82:J83)</f>
        <v>0</v>
      </c>
      <c r="K84" s="142"/>
      <c r="L84" s="141">
        <f>SUM(L82:L83)</f>
        <v>0</v>
      </c>
      <c r="M84" s="142"/>
      <c r="N84" s="141">
        <f>SUM(N82:N83)</f>
        <v>0</v>
      </c>
      <c r="O84" s="142"/>
      <c r="P84" s="141">
        <f>SUM(P82:P83)</f>
        <v>0</v>
      </c>
      <c r="Q84" s="113">
        <f>IF(P$56=0,0,P84/P$56)</f>
        <v>0</v>
      </c>
      <c r="R84" s="120"/>
      <c r="S84" s="120"/>
      <c r="T84" s="110"/>
    </row>
    <row r="85" spans="1:20" s="65" customFormat="1" ht="7.5" customHeight="1">
      <c r="A85" s="148" t="s">
        <v>301</v>
      </c>
      <c r="B85" s="140" t="s">
        <v>301</v>
      </c>
      <c r="C85" s="110"/>
      <c r="D85" s="110"/>
      <c r="E85" s="110"/>
      <c r="F85" s="110"/>
      <c r="G85" s="110"/>
      <c r="H85" s="110"/>
      <c r="I85" s="110"/>
      <c r="J85" s="142"/>
      <c r="K85" s="142"/>
      <c r="L85" s="142"/>
      <c r="M85" s="142"/>
      <c r="N85" s="142"/>
      <c r="O85" s="142"/>
      <c r="P85" s="142"/>
      <c r="Q85" s="137"/>
      <c r="R85" s="120"/>
      <c r="S85" s="120"/>
      <c r="T85" s="110"/>
    </row>
    <row r="86" spans="1:20" s="65" customFormat="1">
      <c r="A86" s="138" t="s">
        <v>301</v>
      </c>
      <c r="B86" s="140" t="s">
        <v>301</v>
      </c>
      <c r="C86" s="110"/>
      <c r="D86" s="110"/>
      <c r="E86" s="145" t="s">
        <v>342</v>
      </c>
      <c r="F86" s="110"/>
      <c r="G86" s="110"/>
      <c r="H86" s="110"/>
      <c r="I86" s="110"/>
      <c r="J86" s="146">
        <f>+J63+J74+J80+J67+J84</f>
        <v>85030.47</v>
      </c>
      <c r="K86" s="142"/>
      <c r="L86" s="146">
        <f>+L63+L74+L80+L67+L84</f>
        <v>86626.75</v>
      </c>
      <c r="M86" s="142"/>
      <c r="N86" s="146">
        <f>+N63+N74+N80+N67+N84</f>
        <v>11844.7</v>
      </c>
      <c r="O86" s="142"/>
      <c r="P86" s="146">
        <f>+P63+P74+P80+P67+P84</f>
        <v>427564.93999999994</v>
      </c>
      <c r="Q86" s="113">
        <f>IF(P$56=0,0,P86/P$56)</f>
        <v>0.28934687086946054</v>
      </c>
      <c r="R86" s="120"/>
      <c r="S86" s="120"/>
      <c r="T86" s="110"/>
    </row>
    <row r="87" spans="1:20" s="65" customFormat="1" ht="7.5" customHeight="1">
      <c r="A87" s="140" t="s">
        <v>301</v>
      </c>
      <c r="B87" s="140" t="s">
        <v>301</v>
      </c>
      <c r="C87" s="110"/>
      <c r="D87" s="110"/>
      <c r="E87" s="110"/>
      <c r="F87" s="110"/>
      <c r="G87" s="110"/>
      <c r="H87" s="110"/>
      <c r="I87" s="110"/>
      <c r="J87" s="142"/>
      <c r="K87" s="142"/>
      <c r="L87" s="142"/>
      <c r="M87" s="142"/>
      <c r="N87" s="142"/>
      <c r="O87" s="142"/>
      <c r="P87" s="142"/>
      <c r="Q87" s="137"/>
      <c r="R87" s="120"/>
      <c r="S87" s="120"/>
      <c r="T87" s="110"/>
    </row>
    <row r="88" spans="1:20" s="65" customFormat="1">
      <c r="A88" s="140" t="s">
        <v>301</v>
      </c>
      <c r="B88" s="140" t="s">
        <v>301</v>
      </c>
      <c r="C88" s="110"/>
      <c r="D88" s="110"/>
      <c r="E88" s="150" t="s">
        <v>343</v>
      </c>
      <c r="F88" s="110"/>
      <c r="G88" s="110"/>
      <c r="H88" s="110"/>
      <c r="I88" s="110"/>
      <c r="J88" s="146">
        <f>J56-J86</f>
        <v>169247.57999999996</v>
      </c>
      <c r="K88" s="142"/>
      <c r="L88" s="146">
        <f>L56-L86</f>
        <v>159587.87</v>
      </c>
      <c r="M88" s="142"/>
      <c r="N88" s="146">
        <f>N56-N86</f>
        <v>250616.77999999997</v>
      </c>
      <c r="O88" s="142"/>
      <c r="P88" s="146">
        <f>P56-P86</f>
        <v>1050124.9300000002</v>
      </c>
      <c r="Q88" s="113">
        <f>IF(P$56=0,0,P88/P$56)</f>
        <v>0.71065312913053946</v>
      </c>
      <c r="R88" s="120"/>
      <c r="S88" s="120"/>
      <c r="T88" s="110"/>
    </row>
    <row r="89" spans="1:20" s="65" customFormat="1" ht="7.5" customHeight="1">
      <c r="A89" s="140" t="s">
        <v>301</v>
      </c>
      <c r="B89" s="140" t="s">
        <v>301</v>
      </c>
      <c r="C89" s="110"/>
      <c r="D89" s="110"/>
      <c r="E89" s="110"/>
      <c r="F89" s="110"/>
      <c r="G89" s="110"/>
      <c r="H89" s="110"/>
      <c r="I89" s="110"/>
      <c r="J89" s="142"/>
      <c r="K89" s="142"/>
      <c r="L89" s="142"/>
      <c r="M89" s="142"/>
      <c r="N89" s="142"/>
      <c r="O89" s="142"/>
      <c r="P89" s="142"/>
      <c r="Q89" s="137"/>
      <c r="R89" s="120"/>
      <c r="S89" s="120"/>
      <c r="T89" s="110"/>
    </row>
    <row r="90" spans="1:20" s="65" customFormat="1" outlineLevel="1">
      <c r="A90" s="140" t="s">
        <v>301</v>
      </c>
      <c r="B90" s="140"/>
      <c r="C90" s="110"/>
      <c r="D90" s="110"/>
      <c r="E90" s="110"/>
      <c r="F90" s="110"/>
      <c r="G90" s="110"/>
      <c r="H90" s="110"/>
      <c r="I90" s="110"/>
      <c r="J90" s="142"/>
      <c r="K90" s="142"/>
      <c r="L90" s="142"/>
      <c r="M90" s="142"/>
      <c r="N90" s="142"/>
      <c r="O90" s="142"/>
      <c r="P90" s="142"/>
      <c r="Q90" s="137"/>
      <c r="R90" s="120"/>
      <c r="S90" s="120"/>
      <c r="T90" s="110"/>
    </row>
    <row r="91" spans="1:20" outlineLevel="1">
      <c r="A91" s="105"/>
      <c r="B91" s="106" t="s">
        <v>344</v>
      </c>
      <c r="C91" s="105"/>
      <c r="D91" s="107">
        <v>50020</v>
      </c>
      <c r="E91" s="107" t="s">
        <v>345</v>
      </c>
      <c r="F91" s="108"/>
      <c r="G91" s="109"/>
      <c r="H91" s="110"/>
      <c r="I91" s="111"/>
      <c r="J91" s="112">
        <v>30750.720000000001</v>
      </c>
      <c r="K91" s="111"/>
      <c r="L91" s="112">
        <v>32181.84</v>
      </c>
      <c r="M91" s="111"/>
      <c r="N91" s="112">
        <v>36440.11</v>
      </c>
      <c r="O91" s="111"/>
      <c r="P91" s="112">
        <v>200035.19</v>
      </c>
      <c r="Q91" s="113">
        <f t="shared" ref="Q91:Q100" si="6">IF(P$56=0,0,P91/P$56)</f>
        <v>0.13537021134211333</v>
      </c>
      <c r="R91" s="114"/>
      <c r="S91" s="115"/>
      <c r="T91" s="105"/>
    </row>
    <row r="92" spans="1:20" outlineLevel="1">
      <c r="A92" s="105"/>
      <c r="B92" s="106" t="s">
        <v>308</v>
      </c>
      <c r="C92" s="105"/>
      <c r="D92" s="107">
        <v>50025</v>
      </c>
      <c r="E92" s="107" t="s">
        <v>346</v>
      </c>
      <c r="F92" s="108"/>
      <c r="G92" s="109"/>
      <c r="H92" s="110"/>
      <c r="I92" s="111"/>
      <c r="J92" s="112">
        <v>3104.87</v>
      </c>
      <c r="K92" s="111"/>
      <c r="L92" s="112">
        <v>1965.12</v>
      </c>
      <c r="M92" s="111"/>
      <c r="N92" s="112">
        <v>2055.09</v>
      </c>
      <c r="O92" s="111"/>
      <c r="P92" s="112">
        <v>14576.75</v>
      </c>
      <c r="Q92" s="113">
        <f t="shared" si="6"/>
        <v>9.864552972810187E-3</v>
      </c>
      <c r="R92" s="114"/>
      <c r="S92" s="115"/>
      <c r="T92" s="105"/>
    </row>
    <row r="93" spans="1:20" outlineLevel="1">
      <c r="A93" s="105"/>
      <c r="B93" s="106" t="s">
        <v>308</v>
      </c>
      <c r="C93" s="105"/>
      <c r="D93" s="107">
        <v>50035</v>
      </c>
      <c r="E93" s="107" t="s">
        <v>347</v>
      </c>
      <c r="F93" s="108"/>
      <c r="G93" s="109"/>
      <c r="H93" s="110"/>
      <c r="I93" s="111"/>
      <c r="J93" s="112">
        <v>1345</v>
      </c>
      <c r="K93" s="111"/>
      <c r="L93" s="112">
        <v>1456</v>
      </c>
      <c r="M93" s="111"/>
      <c r="N93" s="112">
        <v>1386</v>
      </c>
      <c r="O93" s="111"/>
      <c r="P93" s="112">
        <v>8236</v>
      </c>
      <c r="Q93" s="113">
        <f t="shared" si="6"/>
        <v>5.5735646343708098E-3</v>
      </c>
      <c r="R93" s="114"/>
      <c r="S93" s="115"/>
      <c r="T93" s="105"/>
    </row>
    <row r="94" spans="1:20" outlineLevel="1">
      <c r="A94" s="105"/>
      <c r="B94" s="106" t="s">
        <v>308</v>
      </c>
      <c r="C94" s="105"/>
      <c r="D94" s="107">
        <v>50050</v>
      </c>
      <c r="E94" s="107" t="s">
        <v>348</v>
      </c>
      <c r="F94" s="108"/>
      <c r="G94" s="109"/>
      <c r="H94" s="110"/>
      <c r="I94" s="111"/>
      <c r="J94" s="112">
        <v>2802.38</v>
      </c>
      <c r="K94" s="111"/>
      <c r="L94" s="112">
        <v>2896.22</v>
      </c>
      <c r="M94" s="111"/>
      <c r="N94" s="112">
        <v>3174.34</v>
      </c>
      <c r="O94" s="111"/>
      <c r="P94" s="112">
        <v>18658.419999999998</v>
      </c>
      <c r="Q94" s="113">
        <f t="shared" si="6"/>
        <v>1.2626749616954468E-2</v>
      </c>
      <c r="R94" s="114"/>
      <c r="S94" s="115"/>
      <c r="T94" s="105"/>
    </row>
    <row r="95" spans="1:20" outlineLevel="1">
      <c r="A95" s="105"/>
      <c r="B95" s="106" t="s">
        <v>308</v>
      </c>
      <c r="C95" s="105"/>
      <c r="D95" s="107">
        <v>50060</v>
      </c>
      <c r="E95" s="107" t="s">
        <v>349</v>
      </c>
      <c r="F95" s="108"/>
      <c r="G95" s="109"/>
      <c r="H95" s="110"/>
      <c r="I95" s="111"/>
      <c r="J95" s="112">
        <v>7819.72</v>
      </c>
      <c r="K95" s="111"/>
      <c r="L95" s="112">
        <v>6729.58</v>
      </c>
      <c r="M95" s="111"/>
      <c r="N95" s="112">
        <v>7764.28</v>
      </c>
      <c r="O95" s="111"/>
      <c r="P95" s="112">
        <v>45697.05</v>
      </c>
      <c r="Q95" s="113">
        <f t="shared" si="6"/>
        <v>3.0924655387940096E-2</v>
      </c>
      <c r="R95" s="114"/>
      <c r="S95" s="115"/>
      <c r="T95" s="105"/>
    </row>
    <row r="96" spans="1:20" outlineLevel="1">
      <c r="A96" s="105"/>
      <c r="B96" s="106" t="s">
        <v>308</v>
      </c>
      <c r="C96" s="105"/>
      <c r="D96" s="107">
        <v>50065</v>
      </c>
      <c r="E96" s="107" t="s">
        <v>350</v>
      </c>
      <c r="F96" s="108"/>
      <c r="G96" s="109"/>
      <c r="H96" s="110"/>
      <c r="I96" s="111"/>
      <c r="J96" s="112">
        <v>1789.38</v>
      </c>
      <c r="K96" s="111"/>
      <c r="L96" s="112">
        <v>1683.54</v>
      </c>
      <c r="M96" s="111"/>
      <c r="N96" s="112">
        <v>1591.2</v>
      </c>
      <c r="O96" s="111"/>
      <c r="P96" s="112">
        <v>9881.08</v>
      </c>
      <c r="Q96" s="113">
        <f t="shared" si="6"/>
        <v>6.6868428894352504E-3</v>
      </c>
      <c r="R96" s="114"/>
      <c r="S96" s="115"/>
      <c r="T96" s="105"/>
    </row>
    <row r="97" spans="1:20" outlineLevel="1">
      <c r="A97" s="105"/>
      <c r="B97" s="106" t="s">
        <v>308</v>
      </c>
      <c r="C97" s="105"/>
      <c r="D97" s="107">
        <v>50070</v>
      </c>
      <c r="E97" s="107" t="s">
        <v>351</v>
      </c>
      <c r="F97" s="108"/>
      <c r="G97" s="109"/>
      <c r="H97" s="110"/>
      <c r="I97" s="111"/>
      <c r="J97" s="112">
        <v>278.45999999999998</v>
      </c>
      <c r="K97" s="111"/>
      <c r="L97" s="112">
        <v>776.1</v>
      </c>
      <c r="M97" s="111"/>
      <c r="N97" s="112">
        <v>0</v>
      </c>
      <c r="O97" s="111"/>
      <c r="P97" s="112">
        <v>1969.5</v>
      </c>
      <c r="Q97" s="113">
        <f t="shared" si="6"/>
        <v>1.3328236458709701E-3</v>
      </c>
      <c r="R97" s="114"/>
      <c r="S97" s="115"/>
      <c r="T97" s="105"/>
    </row>
    <row r="98" spans="1:20" outlineLevel="1">
      <c r="A98" s="105"/>
      <c r="B98" s="106" t="s">
        <v>308</v>
      </c>
      <c r="C98" s="105"/>
      <c r="D98" s="107">
        <v>50086</v>
      </c>
      <c r="E98" s="107" t="s">
        <v>352</v>
      </c>
      <c r="F98" s="108"/>
      <c r="G98" s="109"/>
      <c r="H98" s="110"/>
      <c r="I98" s="111"/>
      <c r="J98" s="112">
        <v>219.1</v>
      </c>
      <c r="K98" s="111"/>
      <c r="L98" s="112">
        <v>140.19999999999999</v>
      </c>
      <c r="M98" s="111"/>
      <c r="N98" s="112">
        <v>323.29000000000002</v>
      </c>
      <c r="O98" s="111"/>
      <c r="P98" s="112">
        <v>2517.8000000000002</v>
      </c>
      <c r="Q98" s="113">
        <f t="shared" si="6"/>
        <v>1.7038757936399739E-3</v>
      </c>
      <c r="R98" s="114"/>
      <c r="S98" s="115"/>
      <c r="T98" s="105"/>
    </row>
    <row r="99" spans="1:20" outlineLevel="1">
      <c r="A99" s="105"/>
      <c r="B99" s="106" t="s">
        <v>308</v>
      </c>
      <c r="C99" s="105"/>
      <c r="D99" s="107">
        <v>50090</v>
      </c>
      <c r="E99" s="107" t="s">
        <v>353</v>
      </c>
      <c r="F99" s="108"/>
      <c r="G99" s="109"/>
      <c r="H99" s="110"/>
      <c r="I99" s="111"/>
      <c r="J99" s="112">
        <v>567.55999999999995</v>
      </c>
      <c r="K99" s="111"/>
      <c r="L99" s="112">
        <v>576.04999999999995</v>
      </c>
      <c r="M99" s="111"/>
      <c r="N99" s="112">
        <v>118.57</v>
      </c>
      <c r="O99" s="111"/>
      <c r="P99" s="112">
        <v>2318.12</v>
      </c>
      <c r="Q99" s="113">
        <f t="shared" si="6"/>
        <v>1.5687459507318674E-3</v>
      </c>
      <c r="R99" s="114"/>
      <c r="S99" s="115"/>
      <c r="T99" s="105"/>
    </row>
    <row r="100" spans="1:20" outlineLevel="1">
      <c r="A100" s="105"/>
      <c r="B100" s="106" t="s">
        <v>308</v>
      </c>
      <c r="C100" s="105"/>
      <c r="D100" s="107">
        <v>50115</v>
      </c>
      <c r="E100" s="107" t="s">
        <v>354</v>
      </c>
      <c r="F100" s="108"/>
      <c r="G100" s="109"/>
      <c r="H100" s="110"/>
      <c r="I100" s="111"/>
      <c r="J100" s="112">
        <v>502.31</v>
      </c>
      <c r="K100" s="111"/>
      <c r="L100" s="112">
        <v>751</v>
      </c>
      <c r="M100" s="111"/>
      <c r="N100" s="112">
        <v>514.91999999999996</v>
      </c>
      <c r="O100" s="111"/>
      <c r="P100" s="112">
        <v>3290.55</v>
      </c>
      <c r="Q100" s="113">
        <f t="shared" si="6"/>
        <v>2.2268204356033108E-3</v>
      </c>
      <c r="R100" s="114"/>
      <c r="S100" s="115"/>
      <c r="T100" s="105"/>
    </row>
    <row r="101" spans="1:20" s="65" customFormat="1" ht="5.0999999999999996" customHeight="1" outlineLevel="1">
      <c r="A101" s="140"/>
      <c r="B101" s="138" t="s">
        <v>301</v>
      </c>
      <c r="C101" s="110"/>
      <c r="D101" s="108"/>
      <c r="E101" s="108"/>
      <c r="F101" s="108"/>
      <c r="G101" s="108"/>
      <c r="H101" s="110"/>
      <c r="I101" s="110"/>
      <c r="J101" s="143"/>
      <c r="K101" s="142"/>
      <c r="L101" s="143"/>
      <c r="M101" s="142"/>
      <c r="N101" s="143"/>
      <c r="O101" s="142"/>
      <c r="P101" s="143"/>
      <c r="Q101" s="137"/>
      <c r="R101" s="120"/>
      <c r="S101" s="120"/>
      <c r="T101" s="110"/>
    </row>
    <row r="102" spans="1:20" s="65" customFormat="1">
      <c r="A102" s="140" t="s">
        <v>344</v>
      </c>
      <c r="B102" s="138" t="s">
        <v>301</v>
      </c>
      <c r="C102" s="110"/>
      <c r="D102" s="110"/>
      <c r="E102" s="110"/>
      <c r="F102" s="108" t="s">
        <v>355</v>
      </c>
      <c r="G102" s="110"/>
      <c r="H102" s="110"/>
      <c r="I102" s="110"/>
      <c r="J102" s="141">
        <f>SUM(J90:J101)</f>
        <v>49179.499999999993</v>
      </c>
      <c r="K102" s="142"/>
      <c r="L102" s="141">
        <f>SUM(L90:L101)</f>
        <v>49155.65</v>
      </c>
      <c r="M102" s="142"/>
      <c r="N102" s="141">
        <f>SUM(N90:N101)</f>
        <v>53367.799999999988</v>
      </c>
      <c r="O102" s="142"/>
      <c r="P102" s="141">
        <f>SUM(P90:P101)</f>
        <v>307180.45999999996</v>
      </c>
      <c r="Q102" s="113">
        <f>IF(P$56=0,0,P102/P$56)</f>
        <v>0.20787884266947024</v>
      </c>
      <c r="R102" s="120"/>
      <c r="S102" s="120"/>
      <c r="T102" s="110"/>
    </row>
    <row r="103" spans="1:20" s="65" customFormat="1" outlineLevel="1">
      <c r="A103" s="138" t="s">
        <v>301</v>
      </c>
      <c r="B103" s="147"/>
      <c r="C103" s="110"/>
      <c r="D103" s="110"/>
      <c r="E103" s="110"/>
      <c r="F103" s="110"/>
      <c r="G103" s="110"/>
      <c r="H103" s="110"/>
      <c r="I103" s="110"/>
      <c r="J103" s="142"/>
      <c r="K103" s="142"/>
      <c r="L103" s="142"/>
      <c r="M103" s="142"/>
      <c r="N103" s="142"/>
      <c r="O103" s="142"/>
      <c r="P103" s="142"/>
      <c r="Q103" s="137"/>
      <c r="R103" s="120"/>
      <c r="S103" s="120"/>
      <c r="T103" s="110"/>
    </row>
    <row r="104" spans="1:20" outlineLevel="1">
      <c r="A104" s="105"/>
      <c r="B104" s="106" t="s">
        <v>356</v>
      </c>
      <c r="C104" s="105"/>
      <c r="D104" s="107">
        <v>51295</v>
      </c>
      <c r="E104" s="107" t="s">
        <v>357</v>
      </c>
      <c r="F104" s="108"/>
      <c r="G104" s="109"/>
      <c r="H104" s="110"/>
      <c r="I104" s="111"/>
      <c r="J104" s="112">
        <v>608.36</v>
      </c>
      <c r="K104" s="111"/>
      <c r="L104" s="112">
        <v>608.36</v>
      </c>
      <c r="M104" s="111"/>
      <c r="N104" s="112">
        <v>0</v>
      </c>
      <c r="O104" s="111"/>
      <c r="P104" s="112">
        <v>3395.46</v>
      </c>
      <c r="Q104" s="113">
        <f>IF(P$56=0,0,P104/P$56)</f>
        <v>2.2978163882249525E-3</v>
      </c>
      <c r="R104" s="114"/>
      <c r="S104" s="115"/>
      <c r="T104" s="105"/>
    </row>
    <row r="105" spans="1:20" s="65" customFormat="1" ht="5.0999999999999996" customHeight="1" outlineLevel="1">
      <c r="A105" s="148"/>
      <c r="B105" s="140" t="s">
        <v>301</v>
      </c>
      <c r="C105" s="110"/>
      <c r="D105" s="108"/>
      <c r="E105" s="108"/>
      <c r="F105" s="108"/>
      <c r="G105" s="108"/>
      <c r="H105" s="110"/>
      <c r="I105" s="110"/>
      <c r="J105" s="143"/>
      <c r="K105" s="142"/>
      <c r="L105" s="143"/>
      <c r="M105" s="142"/>
      <c r="N105" s="143"/>
      <c r="O105" s="142"/>
      <c r="P105" s="143"/>
      <c r="Q105" s="137"/>
      <c r="R105" s="120"/>
      <c r="S105" s="120"/>
      <c r="T105" s="110"/>
    </row>
    <row r="106" spans="1:20" s="65" customFormat="1">
      <c r="A106" s="140" t="s">
        <v>356</v>
      </c>
      <c r="B106" s="140"/>
      <c r="C106" s="110"/>
      <c r="D106" s="110"/>
      <c r="E106" s="110"/>
      <c r="F106" s="108" t="s">
        <v>358</v>
      </c>
      <c r="G106" s="110"/>
      <c r="H106" s="110"/>
      <c r="I106" s="110"/>
      <c r="J106" s="141">
        <f>SUM(J104:J105)</f>
        <v>608.36</v>
      </c>
      <c r="K106" s="142"/>
      <c r="L106" s="141">
        <f>SUM(L104:L105)</f>
        <v>608.36</v>
      </c>
      <c r="M106" s="142"/>
      <c r="N106" s="141">
        <f>SUM(N104:N105)</f>
        <v>0</v>
      </c>
      <c r="O106" s="142"/>
      <c r="P106" s="141">
        <f>SUM(P104:P105)</f>
        <v>3395.46</v>
      </c>
      <c r="Q106" s="113">
        <f>IF(P$56=0,0,P106/P$56)</f>
        <v>2.2978163882249525E-3</v>
      </c>
      <c r="R106" s="120"/>
      <c r="S106" s="120"/>
      <c r="T106" s="110"/>
    </row>
    <row r="107" spans="1:20" s="65" customFormat="1" outlineLevel="1">
      <c r="A107" s="140" t="s">
        <v>301</v>
      </c>
      <c r="B107" s="140"/>
      <c r="C107" s="110"/>
      <c r="D107" s="110"/>
      <c r="E107" s="110"/>
      <c r="F107" s="110"/>
      <c r="G107" s="110"/>
      <c r="H107" s="110"/>
      <c r="I107" s="110"/>
      <c r="J107" s="142"/>
      <c r="K107" s="142"/>
      <c r="L107" s="142"/>
      <c r="M107" s="142"/>
      <c r="N107" s="142"/>
      <c r="O107" s="142"/>
      <c r="P107" s="142"/>
      <c r="Q107" s="137"/>
      <c r="R107" s="120"/>
      <c r="S107" s="120"/>
      <c r="T107" s="110"/>
    </row>
    <row r="108" spans="1:20" s="65" customFormat="1" outlineLevel="1">
      <c r="A108" s="140"/>
      <c r="B108" s="140"/>
      <c r="C108" s="110"/>
      <c r="D108" s="110"/>
      <c r="E108" s="110"/>
      <c r="F108" s="110"/>
      <c r="G108" s="110"/>
      <c r="H108" s="110"/>
      <c r="I108" s="110"/>
      <c r="J108" s="142"/>
      <c r="K108" s="142"/>
      <c r="L108" s="142"/>
      <c r="M108" s="142"/>
      <c r="N108" s="142"/>
      <c r="O108" s="142"/>
      <c r="P108" s="142"/>
      <c r="Q108" s="137"/>
      <c r="R108" s="120"/>
      <c r="S108" s="120"/>
      <c r="T108" s="110"/>
    </row>
    <row r="109" spans="1:20" outlineLevel="1">
      <c r="A109" s="105"/>
      <c r="B109" s="106" t="s">
        <v>359</v>
      </c>
      <c r="C109" s="105"/>
      <c r="D109" s="107">
        <v>52010</v>
      </c>
      <c r="E109" s="107" t="s">
        <v>360</v>
      </c>
      <c r="F109" s="108"/>
      <c r="G109" s="109"/>
      <c r="H109" s="110"/>
      <c r="I109" s="111"/>
      <c r="J109" s="112">
        <v>3634.62</v>
      </c>
      <c r="K109" s="111"/>
      <c r="L109" s="112">
        <v>3807.69</v>
      </c>
      <c r="M109" s="111"/>
      <c r="N109" s="112">
        <v>3807.7</v>
      </c>
      <c r="O109" s="111"/>
      <c r="P109" s="112">
        <v>22500.01</v>
      </c>
      <c r="Q109" s="113">
        <f t="shared" ref="Q109:Q128" si="7">IF(P$56=0,0,P109/P$56)</f>
        <v>1.5226476445967649E-2</v>
      </c>
      <c r="R109" s="114"/>
      <c r="S109" s="115"/>
      <c r="T109" s="105"/>
    </row>
    <row r="110" spans="1:20" outlineLevel="1">
      <c r="A110" s="105"/>
      <c r="B110" s="106" t="s">
        <v>308</v>
      </c>
      <c r="C110" s="105"/>
      <c r="D110" s="107">
        <v>52020</v>
      </c>
      <c r="E110" s="107" t="s">
        <v>345</v>
      </c>
      <c r="F110" s="108"/>
      <c r="G110" s="109"/>
      <c r="H110" s="110"/>
      <c r="I110" s="111"/>
      <c r="J110" s="112">
        <v>2712.85</v>
      </c>
      <c r="K110" s="111"/>
      <c r="L110" s="112">
        <v>2797.57</v>
      </c>
      <c r="M110" s="111"/>
      <c r="N110" s="112">
        <v>2775.09</v>
      </c>
      <c r="O110" s="111"/>
      <c r="P110" s="112">
        <v>17391.86</v>
      </c>
      <c r="Q110" s="113">
        <f t="shared" si="7"/>
        <v>1.1769627953123885E-2</v>
      </c>
      <c r="R110" s="114"/>
      <c r="S110" s="115"/>
      <c r="T110" s="105"/>
    </row>
    <row r="111" spans="1:20" outlineLevel="1">
      <c r="A111" s="105"/>
      <c r="B111" s="106" t="s">
        <v>308</v>
      </c>
      <c r="C111" s="105"/>
      <c r="D111" s="107">
        <v>52025</v>
      </c>
      <c r="E111" s="107" t="s">
        <v>346</v>
      </c>
      <c r="F111" s="108"/>
      <c r="G111" s="109"/>
      <c r="H111" s="110"/>
      <c r="I111" s="111"/>
      <c r="J111" s="112">
        <v>-0.09</v>
      </c>
      <c r="K111" s="111"/>
      <c r="L111" s="112">
        <v>0</v>
      </c>
      <c r="M111" s="111"/>
      <c r="N111" s="112">
        <v>0</v>
      </c>
      <c r="O111" s="111"/>
      <c r="P111" s="112">
        <v>310.58999999999997</v>
      </c>
      <c r="Q111" s="113">
        <f t="shared" si="7"/>
        <v>2.101861874440541E-4</v>
      </c>
      <c r="R111" s="114"/>
      <c r="S111" s="115"/>
      <c r="T111" s="105"/>
    </row>
    <row r="112" spans="1:20" outlineLevel="1">
      <c r="A112" s="105"/>
      <c r="B112" s="106" t="s">
        <v>308</v>
      </c>
      <c r="C112" s="105"/>
      <c r="D112" s="107">
        <v>52050</v>
      </c>
      <c r="E112" s="107" t="s">
        <v>348</v>
      </c>
      <c r="F112" s="108"/>
      <c r="G112" s="109"/>
      <c r="H112" s="110"/>
      <c r="I112" s="111"/>
      <c r="J112" s="112">
        <v>516.55999999999995</v>
      </c>
      <c r="K112" s="111"/>
      <c r="L112" s="112">
        <v>512.89</v>
      </c>
      <c r="M112" s="111"/>
      <c r="N112" s="112">
        <v>528.48</v>
      </c>
      <c r="O112" s="111"/>
      <c r="P112" s="112">
        <v>3355.01</v>
      </c>
      <c r="Q112" s="113">
        <f t="shared" si="7"/>
        <v>2.2704425794026727E-3</v>
      </c>
      <c r="R112" s="114"/>
      <c r="S112" s="115"/>
      <c r="T112" s="105"/>
    </row>
    <row r="113" spans="1:20" outlineLevel="1">
      <c r="A113" s="105"/>
      <c r="B113" s="106" t="s">
        <v>308</v>
      </c>
      <c r="C113" s="105"/>
      <c r="D113" s="107">
        <v>52060</v>
      </c>
      <c r="E113" s="107" t="s">
        <v>349</v>
      </c>
      <c r="F113" s="108"/>
      <c r="G113" s="109"/>
      <c r="H113" s="110"/>
      <c r="I113" s="111"/>
      <c r="J113" s="112">
        <v>1697.24</v>
      </c>
      <c r="K113" s="111"/>
      <c r="L113" s="112">
        <v>1545.86</v>
      </c>
      <c r="M113" s="111"/>
      <c r="N113" s="112">
        <v>1691.68</v>
      </c>
      <c r="O113" s="111"/>
      <c r="P113" s="112">
        <v>10026.5</v>
      </c>
      <c r="Q113" s="113">
        <f t="shared" si="7"/>
        <v>6.785253254798315E-3</v>
      </c>
      <c r="R113" s="114"/>
      <c r="S113" s="115"/>
      <c r="T113" s="105"/>
    </row>
    <row r="114" spans="1:20" outlineLevel="1">
      <c r="A114" s="105"/>
      <c r="B114" s="106" t="s">
        <v>308</v>
      </c>
      <c r="C114" s="105"/>
      <c r="D114" s="107">
        <v>52065</v>
      </c>
      <c r="E114" s="107" t="s">
        <v>350</v>
      </c>
      <c r="F114" s="108"/>
      <c r="G114" s="109"/>
      <c r="H114" s="110"/>
      <c r="I114" s="111"/>
      <c r="J114" s="112">
        <v>216.31</v>
      </c>
      <c r="K114" s="111"/>
      <c r="L114" s="112">
        <v>223.52</v>
      </c>
      <c r="M114" s="111"/>
      <c r="N114" s="112">
        <v>0</v>
      </c>
      <c r="O114" s="111"/>
      <c r="P114" s="112">
        <v>1095.97</v>
      </c>
      <c r="Q114" s="113">
        <f t="shared" si="7"/>
        <v>7.4167795438700545E-4</v>
      </c>
      <c r="R114" s="114"/>
      <c r="S114" s="115"/>
      <c r="T114" s="105"/>
    </row>
    <row r="115" spans="1:20" outlineLevel="1">
      <c r="A115" s="105"/>
      <c r="B115" s="106" t="s">
        <v>308</v>
      </c>
      <c r="C115" s="105"/>
      <c r="D115" s="107">
        <v>52070</v>
      </c>
      <c r="E115" s="107" t="s">
        <v>351</v>
      </c>
      <c r="F115" s="108"/>
      <c r="G115" s="109"/>
      <c r="H115" s="110"/>
      <c r="I115" s="111"/>
      <c r="J115" s="112">
        <v>0</v>
      </c>
      <c r="K115" s="111"/>
      <c r="L115" s="112">
        <v>0</v>
      </c>
      <c r="M115" s="111"/>
      <c r="N115" s="112">
        <v>0</v>
      </c>
      <c r="O115" s="111"/>
      <c r="P115" s="112">
        <v>0</v>
      </c>
      <c r="Q115" s="113">
        <f t="shared" si="7"/>
        <v>0</v>
      </c>
      <c r="R115" s="114"/>
      <c r="S115" s="115"/>
      <c r="T115" s="105"/>
    </row>
    <row r="116" spans="1:20" outlineLevel="1">
      <c r="A116" s="105"/>
      <c r="B116" s="106" t="s">
        <v>308</v>
      </c>
      <c r="C116" s="105"/>
      <c r="D116" s="107">
        <v>52087</v>
      </c>
      <c r="E116" s="107" t="s">
        <v>361</v>
      </c>
      <c r="F116" s="108"/>
      <c r="G116" s="109"/>
      <c r="H116" s="110"/>
      <c r="I116" s="111"/>
      <c r="J116" s="112">
        <v>109.64</v>
      </c>
      <c r="K116" s="111"/>
      <c r="L116" s="112">
        <v>0</v>
      </c>
      <c r="M116" s="111"/>
      <c r="N116" s="112">
        <v>0</v>
      </c>
      <c r="O116" s="111"/>
      <c r="P116" s="112">
        <v>559.64</v>
      </c>
      <c r="Q116" s="113">
        <f t="shared" si="7"/>
        <v>3.7872628848704222E-4</v>
      </c>
      <c r="R116" s="114"/>
      <c r="S116" s="115"/>
      <c r="T116" s="105"/>
    </row>
    <row r="117" spans="1:20" outlineLevel="1">
      <c r="A117" s="105"/>
      <c r="B117" s="106" t="s">
        <v>308</v>
      </c>
      <c r="C117" s="105"/>
      <c r="D117" s="107">
        <v>52090</v>
      </c>
      <c r="E117" s="107" t="s">
        <v>353</v>
      </c>
      <c r="F117" s="108"/>
      <c r="G117" s="109"/>
      <c r="H117" s="110"/>
      <c r="I117" s="111"/>
      <c r="J117" s="112">
        <v>0</v>
      </c>
      <c r="K117" s="111"/>
      <c r="L117" s="112">
        <v>0</v>
      </c>
      <c r="M117" s="111"/>
      <c r="N117" s="112">
        <v>0</v>
      </c>
      <c r="O117" s="111"/>
      <c r="P117" s="112">
        <v>271.75</v>
      </c>
      <c r="Q117" s="113">
        <f t="shared" si="7"/>
        <v>1.8390191711877945E-4</v>
      </c>
      <c r="R117" s="114"/>
      <c r="S117" s="115"/>
      <c r="T117" s="105"/>
    </row>
    <row r="118" spans="1:20" outlineLevel="1">
      <c r="A118" s="105"/>
      <c r="B118" s="106" t="s">
        <v>308</v>
      </c>
      <c r="C118" s="105"/>
      <c r="D118" s="107">
        <v>52115</v>
      </c>
      <c r="E118" s="107" t="s">
        <v>354</v>
      </c>
      <c r="F118" s="108"/>
      <c r="G118" s="109"/>
      <c r="H118" s="110"/>
      <c r="I118" s="111"/>
      <c r="J118" s="112">
        <v>86.54</v>
      </c>
      <c r="K118" s="111"/>
      <c r="L118" s="112">
        <v>129.81</v>
      </c>
      <c r="M118" s="111"/>
      <c r="N118" s="112">
        <v>86.54</v>
      </c>
      <c r="O118" s="111"/>
      <c r="P118" s="112">
        <v>562.51</v>
      </c>
      <c r="Q118" s="113">
        <f t="shared" si="7"/>
        <v>3.8066850928605199E-4</v>
      </c>
      <c r="R118" s="114"/>
      <c r="S118" s="115"/>
      <c r="T118" s="105"/>
    </row>
    <row r="119" spans="1:20" outlineLevel="1">
      <c r="A119" s="105"/>
      <c r="B119" s="106" t="s">
        <v>308</v>
      </c>
      <c r="C119" s="105"/>
      <c r="D119" s="107">
        <v>52120</v>
      </c>
      <c r="E119" s="107" t="s">
        <v>362</v>
      </c>
      <c r="F119" s="108"/>
      <c r="G119" s="109"/>
      <c r="H119" s="110"/>
      <c r="I119" s="111"/>
      <c r="J119" s="112">
        <v>7322.81</v>
      </c>
      <c r="K119" s="111"/>
      <c r="L119" s="112">
        <v>7917.17</v>
      </c>
      <c r="M119" s="111"/>
      <c r="N119" s="112">
        <v>1993.77</v>
      </c>
      <c r="O119" s="111"/>
      <c r="P119" s="112">
        <v>38996.089999999997</v>
      </c>
      <c r="Q119" s="113">
        <f t="shared" si="7"/>
        <v>2.6389901420925347E-2</v>
      </c>
      <c r="R119" s="114"/>
      <c r="S119" s="115"/>
      <c r="T119" s="105"/>
    </row>
    <row r="120" spans="1:20" outlineLevel="1">
      <c r="A120" s="105"/>
      <c r="B120" s="106" t="s">
        <v>308</v>
      </c>
      <c r="C120" s="105"/>
      <c r="D120" s="107">
        <v>52125</v>
      </c>
      <c r="E120" s="107" t="s">
        <v>363</v>
      </c>
      <c r="F120" s="108"/>
      <c r="G120" s="109"/>
      <c r="H120" s="110"/>
      <c r="I120" s="111"/>
      <c r="J120" s="112">
        <v>272.2</v>
      </c>
      <c r="K120" s="111"/>
      <c r="L120" s="112">
        <v>1049.53</v>
      </c>
      <c r="M120" s="111"/>
      <c r="N120" s="112">
        <v>0</v>
      </c>
      <c r="O120" s="111"/>
      <c r="P120" s="112">
        <v>2827.41</v>
      </c>
      <c r="Q120" s="113">
        <f t="shared" si="7"/>
        <v>1.9133987837380245E-3</v>
      </c>
      <c r="R120" s="114"/>
      <c r="S120" s="115"/>
      <c r="T120" s="105"/>
    </row>
    <row r="121" spans="1:20" outlineLevel="1">
      <c r="A121" s="105"/>
      <c r="B121" s="106" t="s">
        <v>308</v>
      </c>
      <c r="C121" s="105"/>
      <c r="D121" s="107">
        <v>52140</v>
      </c>
      <c r="E121" s="107" t="s">
        <v>364</v>
      </c>
      <c r="F121" s="108"/>
      <c r="G121" s="109"/>
      <c r="H121" s="110"/>
      <c r="I121" s="111"/>
      <c r="J121" s="112">
        <v>1670.13</v>
      </c>
      <c r="K121" s="111"/>
      <c r="L121" s="112">
        <v>1503.51</v>
      </c>
      <c r="M121" s="111"/>
      <c r="N121" s="112">
        <v>1239.21</v>
      </c>
      <c r="O121" s="111"/>
      <c r="P121" s="112">
        <v>10663.25</v>
      </c>
      <c r="Q121" s="113">
        <f t="shared" si="7"/>
        <v>7.2161623467040473E-3</v>
      </c>
      <c r="R121" s="114"/>
      <c r="S121" s="115"/>
      <c r="T121" s="105"/>
    </row>
    <row r="122" spans="1:20" outlineLevel="1">
      <c r="A122" s="105"/>
      <c r="B122" s="106" t="s">
        <v>308</v>
      </c>
      <c r="C122" s="105"/>
      <c r="D122" s="107">
        <v>52142</v>
      </c>
      <c r="E122" s="107" t="s">
        <v>365</v>
      </c>
      <c r="F122" s="108"/>
      <c r="G122" s="109"/>
      <c r="H122" s="110"/>
      <c r="I122" s="111"/>
      <c r="J122" s="112">
        <v>10498.25</v>
      </c>
      <c r="K122" s="111"/>
      <c r="L122" s="112">
        <v>11537.25</v>
      </c>
      <c r="M122" s="111"/>
      <c r="N122" s="112">
        <v>11279.71</v>
      </c>
      <c r="O122" s="111"/>
      <c r="P122" s="112">
        <v>64109.65</v>
      </c>
      <c r="Q122" s="113">
        <f t="shared" si="7"/>
        <v>4.3385050748165441E-2</v>
      </c>
      <c r="R122" s="114"/>
      <c r="S122" s="115"/>
      <c r="T122" s="105"/>
    </row>
    <row r="123" spans="1:20" outlineLevel="1">
      <c r="A123" s="105"/>
      <c r="B123" s="106" t="s">
        <v>308</v>
      </c>
      <c r="C123" s="105"/>
      <c r="D123" s="107">
        <v>52146</v>
      </c>
      <c r="E123" s="107" t="s">
        <v>366</v>
      </c>
      <c r="F123" s="108"/>
      <c r="G123" s="109"/>
      <c r="H123" s="110"/>
      <c r="I123" s="111"/>
      <c r="J123" s="112">
        <v>190.95</v>
      </c>
      <c r="K123" s="111"/>
      <c r="L123" s="112">
        <v>317.3</v>
      </c>
      <c r="M123" s="111"/>
      <c r="N123" s="112">
        <v>352.16</v>
      </c>
      <c r="O123" s="111"/>
      <c r="P123" s="112">
        <v>5225.76</v>
      </c>
      <c r="Q123" s="113">
        <f t="shared" si="7"/>
        <v>3.5364389416840218E-3</v>
      </c>
      <c r="R123" s="114"/>
      <c r="S123" s="115"/>
      <c r="T123" s="105"/>
    </row>
    <row r="124" spans="1:20" outlineLevel="1">
      <c r="A124" s="105"/>
      <c r="B124" s="106" t="s">
        <v>308</v>
      </c>
      <c r="C124" s="105"/>
      <c r="D124" s="107">
        <v>52147</v>
      </c>
      <c r="E124" s="107" t="s">
        <v>367</v>
      </c>
      <c r="F124" s="108"/>
      <c r="G124" s="109"/>
      <c r="H124" s="110"/>
      <c r="I124" s="111"/>
      <c r="J124" s="112">
        <v>1016.83</v>
      </c>
      <c r="K124" s="111"/>
      <c r="L124" s="112">
        <v>172.48</v>
      </c>
      <c r="M124" s="111"/>
      <c r="N124" s="112">
        <v>19</v>
      </c>
      <c r="O124" s="111"/>
      <c r="P124" s="112">
        <v>25581.96</v>
      </c>
      <c r="Q124" s="113">
        <f t="shared" si="7"/>
        <v>1.7312130589350251E-2</v>
      </c>
      <c r="R124" s="114"/>
      <c r="S124" s="115"/>
      <c r="T124" s="105"/>
    </row>
    <row r="125" spans="1:20" outlineLevel="1">
      <c r="A125" s="105"/>
      <c r="B125" s="106" t="s">
        <v>308</v>
      </c>
      <c r="C125" s="105"/>
      <c r="D125" s="107">
        <v>52150</v>
      </c>
      <c r="E125" s="107" t="s">
        <v>368</v>
      </c>
      <c r="F125" s="108"/>
      <c r="G125" s="109"/>
      <c r="H125" s="110"/>
      <c r="I125" s="111"/>
      <c r="J125" s="112">
        <v>119.97</v>
      </c>
      <c r="K125" s="111"/>
      <c r="L125" s="112">
        <v>121.58</v>
      </c>
      <c r="M125" s="111"/>
      <c r="N125" s="112">
        <v>123.19</v>
      </c>
      <c r="O125" s="111"/>
      <c r="P125" s="112">
        <v>711.33</v>
      </c>
      <c r="Q125" s="113">
        <f t="shared" si="7"/>
        <v>4.8137976340055711E-4</v>
      </c>
      <c r="R125" s="114"/>
      <c r="S125" s="115"/>
      <c r="T125" s="105"/>
    </row>
    <row r="126" spans="1:20" outlineLevel="1">
      <c r="A126" s="105"/>
      <c r="B126" s="106" t="s">
        <v>308</v>
      </c>
      <c r="C126" s="105"/>
      <c r="D126" s="107">
        <v>52181</v>
      </c>
      <c r="E126" s="107" t="s">
        <v>536</v>
      </c>
      <c r="F126" s="108"/>
      <c r="G126" s="109"/>
      <c r="H126" s="110"/>
      <c r="I126" s="111"/>
      <c r="J126" s="112">
        <v>0</v>
      </c>
      <c r="K126" s="111"/>
      <c r="L126" s="112">
        <v>0</v>
      </c>
      <c r="M126" s="111"/>
      <c r="N126" s="112">
        <v>0</v>
      </c>
      <c r="O126" s="111"/>
      <c r="P126" s="112">
        <v>0</v>
      </c>
      <c r="Q126" s="113">
        <f t="shared" si="7"/>
        <v>0</v>
      </c>
      <c r="R126" s="114"/>
      <c r="S126" s="115"/>
      <c r="T126" s="105"/>
    </row>
    <row r="127" spans="1:20" outlineLevel="1">
      <c r="A127" s="105"/>
      <c r="B127" s="106" t="s">
        <v>308</v>
      </c>
      <c r="C127" s="105"/>
      <c r="D127" s="107">
        <v>52182</v>
      </c>
      <c r="E127" s="107" t="s">
        <v>370</v>
      </c>
      <c r="F127" s="108"/>
      <c r="G127" s="109"/>
      <c r="H127" s="110"/>
      <c r="I127" s="111"/>
      <c r="J127" s="112">
        <v>371</v>
      </c>
      <c r="K127" s="111"/>
      <c r="L127" s="112">
        <v>987.86</v>
      </c>
      <c r="M127" s="111"/>
      <c r="N127" s="112">
        <v>0</v>
      </c>
      <c r="O127" s="111"/>
      <c r="P127" s="112">
        <v>4217.4799999999996</v>
      </c>
      <c r="Q127" s="113">
        <f t="shared" si="7"/>
        <v>2.8541036151245995E-3</v>
      </c>
      <c r="R127" s="114"/>
      <c r="S127" s="115"/>
      <c r="T127" s="105"/>
    </row>
    <row r="128" spans="1:20" outlineLevel="1">
      <c r="A128" s="105"/>
      <c r="B128" s="106" t="s">
        <v>308</v>
      </c>
      <c r="C128" s="105"/>
      <c r="D128" s="107">
        <v>52901</v>
      </c>
      <c r="E128" s="107" t="s">
        <v>537</v>
      </c>
      <c r="F128" s="108"/>
      <c r="G128" s="109"/>
      <c r="H128" s="110"/>
      <c r="I128" s="111"/>
      <c r="J128" s="112">
        <v>0</v>
      </c>
      <c r="K128" s="111"/>
      <c r="L128" s="112">
        <v>0</v>
      </c>
      <c r="M128" s="111"/>
      <c r="N128" s="112">
        <v>2532.91</v>
      </c>
      <c r="O128" s="111"/>
      <c r="P128" s="112">
        <v>2532.91</v>
      </c>
      <c r="Q128" s="113">
        <f t="shared" si="7"/>
        <v>1.7141012139441679E-3</v>
      </c>
      <c r="R128" s="114"/>
      <c r="S128" s="115"/>
      <c r="T128" s="105"/>
    </row>
    <row r="129" spans="1:20" s="65" customFormat="1" ht="5.0999999999999996" customHeight="1" outlineLevel="1">
      <c r="A129" s="140"/>
      <c r="B129" s="140" t="s">
        <v>301</v>
      </c>
      <c r="C129" s="110"/>
      <c r="D129" s="108"/>
      <c r="E129" s="108"/>
      <c r="F129" s="108"/>
      <c r="G129" s="108"/>
      <c r="H129" s="110"/>
      <c r="I129" s="110"/>
      <c r="J129" s="143"/>
      <c r="K129" s="142"/>
      <c r="L129" s="143"/>
      <c r="M129" s="142"/>
      <c r="N129" s="143"/>
      <c r="O129" s="142"/>
      <c r="P129" s="143"/>
      <c r="Q129" s="137"/>
      <c r="R129" s="120"/>
      <c r="S129" s="120"/>
      <c r="T129" s="110"/>
    </row>
    <row r="130" spans="1:20" s="65" customFormat="1">
      <c r="A130" s="140" t="s">
        <v>359</v>
      </c>
      <c r="B130" s="140" t="s">
        <v>301</v>
      </c>
      <c r="C130" s="110"/>
      <c r="D130" s="110"/>
      <c r="E130" s="110"/>
      <c r="F130" s="108" t="s">
        <v>371</v>
      </c>
      <c r="G130" s="110"/>
      <c r="H130" s="110"/>
      <c r="I130" s="110"/>
      <c r="J130" s="141">
        <f>SUM(J108:J129)</f>
        <v>30435.810000000005</v>
      </c>
      <c r="K130" s="142"/>
      <c r="L130" s="141">
        <f>SUM(L108:L129)</f>
        <v>32624.02</v>
      </c>
      <c r="M130" s="142"/>
      <c r="N130" s="141">
        <f>SUM(N108:N129)</f>
        <v>26429.439999999999</v>
      </c>
      <c r="O130" s="142"/>
      <c r="P130" s="141">
        <f>SUM(P108:P129)</f>
        <v>210939.68</v>
      </c>
      <c r="Q130" s="113">
        <f>IF(P$56=0,0,P130/P$56)</f>
        <v>0.14274962851305192</v>
      </c>
      <c r="R130" s="120"/>
      <c r="S130" s="120"/>
      <c r="T130" s="110"/>
    </row>
    <row r="131" spans="1:20" s="65" customFormat="1" outlineLevel="1">
      <c r="A131" s="140" t="s">
        <v>301</v>
      </c>
      <c r="B131" s="140" t="s">
        <v>301</v>
      </c>
      <c r="C131" s="110"/>
      <c r="D131" s="110"/>
      <c r="E131" s="110"/>
      <c r="F131" s="110"/>
      <c r="G131" s="110"/>
      <c r="H131" s="110"/>
      <c r="I131" s="110"/>
      <c r="J131" s="142"/>
      <c r="K131" s="142"/>
      <c r="L131" s="142"/>
      <c r="M131" s="142"/>
      <c r="N131" s="142"/>
      <c r="O131" s="142"/>
      <c r="P131" s="142"/>
      <c r="Q131" s="137"/>
      <c r="R131" s="120"/>
      <c r="S131" s="120"/>
      <c r="T131" s="110"/>
    </row>
    <row r="132" spans="1:20" s="65" customFormat="1" outlineLevel="1">
      <c r="A132" s="140" t="s">
        <v>301</v>
      </c>
      <c r="B132" s="147"/>
      <c r="C132" s="110"/>
      <c r="D132" s="110"/>
      <c r="E132" s="110"/>
      <c r="F132" s="110"/>
      <c r="G132" s="110"/>
      <c r="H132" s="110"/>
      <c r="I132" s="110"/>
      <c r="J132" s="142"/>
      <c r="K132" s="142"/>
      <c r="L132" s="142"/>
      <c r="M132" s="142"/>
      <c r="N132" s="142"/>
      <c r="O132" s="142"/>
      <c r="P132" s="142"/>
      <c r="Q132" s="137"/>
      <c r="R132" s="120"/>
      <c r="S132" s="120"/>
      <c r="T132" s="110"/>
    </row>
    <row r="133" spans="1:20" outlineLevel="1">
      <c r="A133" s="105"/>
      <c r="B133" s="106" t="s">
        <v>372</v>
      </c>
      <c r="C133" s="105"/>
      <c r="D133" s="107">
        <v>55120</v>
      </c>
      <c r="E133" s="107" t="s">
        <v>362</v>
      </c>
      <c r="F133" s="108"/>
      <c r="G133" s="109"/>
      <c r="H133" s="110"/>
      <c r="I133" s="111"/>
      <c r="J133" s="112">
        <v>546.28</v>
      </c>
      <c r="K133" s="111"/>
      <c r="L133" s="112">
        <v>11.77</v>
      </c>
      <c r="M133" s="111"/>
      <c r="N133" s="112">
        <v>76.400000000000006</v>
      </c>
      <c r="O133" s="111"/>
      <c r="P133" s="112">
        <v>2263.61</v>
      </c>
      <c r="Q133" s="113">
        <f t="shared" ref="Q133:Q134" si="8">IF(P$56=0,0,P133/P$56)</f>
        <v>1.5318572901903969E-3</v>
      </c>
      <c r="R133" s="114"/>
      <c r="S133" s="115"/>
      <c r="T133" s="105"/>
    </row>
    <row r="134" spans="1:20" outlineLevel="1">
      <c r="A134" s="105"/>
      <c r="B134" s="106" t="s">
        <v>308</v>
      </c>
      <c r="C134" s="105"/>
      <c r="D134" s="107">
        <v>55125</v>
      </c>
      <c r="E134" s="107" t="s">
        <v>363</v>
      </c>
      <c r="F134" s="108"/>
      <c r="G134" s="109"/>
      <c r="H134" s="110"/>
      <c r="I134" s="111"/>
      <c r="J134" s="112">
        <v>602.16</v>
      </c>
      <c r="K134" s="111"/>
      <c r="L134" s="112">
        <v>235.37</v>
      </c>
      <c r="M134" s="111"/>
      <c r="N134" s="112">
        <v>209.78</v>
      </c>
      <c r="O134" s="111"/>
      <c r="P134" s="112">
        <v>1216.29</v>
      </c>
      <c r="Q134" s="113">
        <f t="shared" si="8"/>
        <v>8.231023469085566E-4</v>
      </c>
      <c r="R134" s="114"/>
      <c r="S134" s="115"/>
      <c r="T134" s="105"/>
    </row>
    <row r="135" spans="1:20" s="65" customFormat="1" ht="5.0999999999999996" customHeight="1" outlineLevel="1">
      <c r="A135" s="148"/>
      <c r="B135" s="140" t="s">
        <v>301</v>
      </c>
      <c r="C135" s="110"/>
      <c r="D135" s="108"/>
      <c r="E135" s="108"/>
      <c r="F135" s="108"/>
      <c r="G135" s="108"/>
      <c r="H135" s="110"/>
      <c r="I135" s="110"/>
      <c r="J135" s="143"/>
      <c r="K135" s="142"/>
      <c r="L135" s="143"/>
      <c r="M135" s="142"/>
      <c r="N135" s="143"/>
      <c r="O135" s="142"/>
      <c r="P135" s="143"/>
      <c r="Q135" s="137"/>
      <c r="R135" s="120"/>
      <c r="S135" s="120"/>
      <c r="T135" s="110"/>
    </row>
    <row r="136" spans="1:20" s="65" customFormat="1">
      <c r="A136" s="140" t="s">
        <v>372</v>
      </c>
      <c r="B136" s="140"/>
      <c r="C136" s="110"/>
      <c r="D136" s="110"/>
      <c r="E136" s="110"/>
      <c r="F136" s="108" t="s">
        <v>374</v>
      </c>
      <c r="G136" s="110"/>
      <c r="H136" s="110"/>
      <c r="I136" s="110"/>
      <c r="J136" s="141">
        <f>SUM(J132:J135)</f>
        <v>1148.44</v>
      </c>
      <c r="K136" s="142"/>
      <c r="L136" s="141">
        <f>SUM(L132:L135)</f>
        <v>247.14000000000001</v>
      </c>
      <c r="M136" s="142"/>
      <c r="N136" s="141">
        <f>SUM(N132:N135)</f>
        <v>286.18</v>
      </c>
      <c r="O136" s="142"/>
      <c r="P136" s="141">
        <f>SUM(P132:P135)</f>
        <v>3479.9</v>
      </c>
      <c r="Q136" s="113">
        <f>IF(P$56=0,0,P136/P$56)</f>
        <v>2.3549596370989537E-3</v>
      </c>
      <c r="R136" s="120"/>
      <c r="S136" s="120"/>
      <c r="T136" s="110"/>
    </row>
    <row r="137" spans="1:20" s="65" customFormat="1" outlineLevel="1">
      <c r="A137" s="140" t="s">
        <v>301</v>
      </c>
      <c r="B137" s="140"/>
      <c r="C137" s="110"/>
      <c r="D137" s="110"/>
      <c r="E137" s="110"/>
      <c r="F137" s="110"/>
      <c r="G137" s="110"/>
      <c r="H137" s="110"/>
      <c r="I137" s="110"/>
      <c r="J137" s="142"/>
      <c r="K137" s="142"/>
      <c r="L137" s="142"/>
      <c r="M137" s="142"/>
      <c r="N137" s="142"/>
      <c r="O137" s="142"/>
      <c r="P137" s="142"/>
      <c r="Q137" s="137"/>
      <c r="R137" s="120"/>
      <c r="S137" s="120"/>
      <c r="T137" s="110"/>
    </row>
    <row r="138" spans="1:20" s="65" customFormat="1" outlineLevel="1">
      <c r="A138" s="140"/>
      <c r="B138" s="140" t="s">
        <v>301</v>
      </c>
      <c r="C138" s="110"/>
      <c r="D138" s="110"/>
      <c r="E138" s="110"/>
      <c r="F138" s="110"/>
      <c r="G138" s="110"/>
      <c r="H138" s="110"/>
      <c r="I138" s="110"/>
      <c r="J138" s="142"/>
      <c r="K138" s="142"/>
      <c r="L138" s="142"/>
      <c r="M138" s="142"/>
      <c r="N138" s="142"/>
      <c r="O138" s="142"/>
      <c r="P138" s="142"/>
      <c r="Q138" s="137"/>
      <c r="R138" s="120"/>
      <c r="S138" s="120"/>
      <c r="T138" s="110"/>
    </row>
    <row r="139" spans="1:20" outlineLevel="1">
      <c r="A139" s="105"/>
      <c r="B139" s="106" t="s">
        <v>375</v>
      </c>
      <c r="C139" s="105"/>
      <c r="D139" s="107">
        <v>56010</v>
      </c>
      <c r="E139" s="107" t="s">
        <v>360</v>
      </c>
      <c r="F139" s="108"/>
      <c r="G139" s="109"/>
      <c r="H139" s="110"/>
      <c r="I139" s="111"/>
      <c r="J139" s="112">
        <v>8258.67</v>
      </c>
      <c r="K139" s="111"/>
      <c r="L139" s="112">
        <v>8519.92</v>
      </c>
      <c r="M139" s="111"/>
      <c r="N139" s="112">
        <v>5747.5</v>
      </c>
      <c r="O139" s="111"/>
      <c r="P139" s="112">
        <v>47784.22</v>
      </c>
      <c r="Q139" s="113">
        <f t="shared" ref="Q139:Q144" si="9">IF(P$56=0,0,P139/P$56)</f>
        <v>3.2337110086570461E-2</v>
      </c>
      <c r="R139" s="114"/>
      <c r="S139" s="115"/>
      <c r="T139" s="105"/>
    </row>
    <row r="140" spans="1:20" outlineLevel="1">
      <c r="A140" s="105"/>
      <c r="B140" s="106" t="s">
        <v>308</v>
      </c>
      <c r="C140" s="105"/>
      <c r="D140" s="107">
        <v>56050</v>
      </c>
      <c r="E140" s="107" t="s">
        <v>348</v>
      </c>
      <c r="F140" s="108"/>
      <c r="G140" s="109"/>
      <c r="H140" s="110"/>
      <c r="I140" s="111"/>
      <c r="J140" s="112">
        <v>721.36</v>
      </c>
      <c r="K140" s="111"/>
      <c r="L140" s="112">
        <v>720.16</v>
      </c>
      <c r="M140" s="111"/>
      <c r="N140" s="112">
        <v>425.55</v>
      </c>
      <c r="O140" s="111"/>
      <c r="P140" s="112">
        <v>3830.85</v>
      </c>
      <c r="Q140" s="113">
        <f t="shared" si="9"/>
        <v>2.5924587274865729E-3</v>
      </c>
      <c r="R140" s="114"/>
      <c r="S140" s="115"/>
      <c r="T140" s="105"/>
    </row>
    <row r="141" spans="1:20" outlineLevel="1">
      <c r="A141" s="105"/>
      <c r="B141" s="106" t="s">
        <v>308</v>
      </c>
      <c r="C141" s="105"/>
      <c r="D141" s="107">
        <v>56060</v>
      </c>
      <c r="E141" s="107" t="s">
        <v>349</v>
      </c>
      <c r="F141" s="108"/>
      <c r="G141" s="109"/>
      <c r="H141" s="110"/>
      <c r="I141" s="111"/>
      <c r="J141" s="112">
        <v>1105.54</v>
      </c>
      <c r="K141" s="111"/>
      <c r="L141" s="112">
        <v>958.31</v>
      </c>
      <c r="M141" s="111"/>
      <c r="N141" s="112">
        <v>696.3</v>
      </c>
      <c r="O141" s="111"/>
      <c r="P141" s="112">
        <v>5980.35</v>
      </c>
      <c r="Q141" s="113">
        <f t="shared" si="9"/>
        <v>4.0470941307867254E-3</v>
      </c>
      <c r="R141" s="114"/>
      <c r="S141" s="115"/>
      <c r="T141" s="105"/>
    </row>
    <row r="142" spans="1:20" outlineLevel="1">
      <c r="A142" s="105"/>
      <c r="B142" s="106" t="s">
        <v>308</v>
      </c>
      <c r="C142" s="105"/>
      <c r="D142" s="107">
        <v>56065</v>
      </c>
      <c r="E142" s="107" t="s">
        <v>350</v>
      </c>
      <c r="F142" s="108"/>
      <c r="G142" s="109"/>
      <c r="H142" s="110"/>
      <c r="I142" s="111"/>
      <c r="J142" s="112">
        <v>-893.79</v>
      </c>
      <c r="K142" s="111"/>
      <c r="L142" s="112">
        <v>-323.62</v>
      </c>
      <c r="M142" s="111"/>
      <c r="N142" s="112">
        <v>0</v>
      </c>
      <c r="O142" s="111"/>
      <c r="P142" s="112">
        <v>-516.24</v>
      </c>
      <c r="Q142" s="113">
        <f t="shared" si="9"/>
        <v>-3.4935612030689497E-4</v>
      </c>
      <c r="R142" s="114"/>
      <c r="S142" s="115"/>
      <c r="T142" s="105"/>
    </row>
    <row r="143" spans="1:20" outlineLevel="1">
      <c r="A143" s="105"/>
      <c r="B143" s="106" t="s">
        <v>308</v>
      </c>
      <c r="C143" s="105"/>
      <c r="D143" s="107">
        <v>56095</v>
      </c>
      <c r="E143" s="107" t="s">
        <v>402</v>
      </c>
      <c r="F143" s="108"/>
      <c r="G143" s="109"/>
      <c r="H143" s="110"/>
      <c r="I143" s="111"/>
      <c r="J143" s="112">
        <v>0</v>
      </c>
      <c r="K143" s="111"/>
      <c r="L143" s="112">
        <v>0</v>
      </c>
      <c r="M143" s="111"/>
      <c r="N143" s="112">
        <v>86.23</v>
      </c>
      <c r="O143" s="111"/>
      <c r="P143" s="112">
        <v>86.23</v>
      </c>
      <c r="Q143" s="113">
        <f t="shared" si="9"/>
        <v>5.835459912843552E-5</v>
      </c>
      <c r="R143" s="114"/>
      <c r="S143" s="115"/>
      <c r="T143" s="105"/>
    </row>
    <row r="144" spans="1:20" outlineLevel="1">
      <c r="A144" s="105"/>
      <c r="B144" s="106" t="s">
        <v>308</v>
      </c>
      <c r="C144" s="105"/>
      <c r="D144" s="107">
        <v>56115</v>
      </c>
      <c r="E144" s="107" t="s">
        <v>354</v>
      </c>
      <c r="F144" s="108"/>
      <c r="G144" s="109"/>
      <c r="H144" s="110"/>
      <c r="I144" s="111"/>
      <c r="J144" s="112">
        <v>156.76</v>
      </c>
      <c r="K144" s="111"/>
      <c r="L144" s="112">
        <v>235.14</v>
      </c>
      <c r="M144" s="111"/>
      <c r="N144" s="112">
        <v>156.76</v>
      </c>
      <c r="O144" s="111"/>
      <c r="P144" s="112">
        <v>1018.94</v>
      </c>
      <c r="Q144" s="113">
        <f t="shared" si="9"/>
        <v>6.8954928952717255E-4</v>
      </c>
      <c r="R144" s="114"/>
      <c r="S144" s="115"/>
      <c r="T144" s="105"/>
    </row>
    <row r="145" spans="1:20" s="65" customFormat="1" ht="5.0999999999999996" customHeight="1" outlineLevel="1">
      <c r="A145" s="140" t="s">
        <v>301</v>
      </c>
      <c r="B145" s="140" t="s">
        <v>301</v>
      </c>
      <c r="C145" s="110"/>
      <c r="D145" s="108"/>
      <c r="E145" s="108"/>
      <c r="F145" s="108"/>
      <c r="G145" s="108"/>
      <c r="H145" s="110"/>
      <c r="I145" s="110"/>
      <c r="J145" s="143"/>
      <c r="K145" s="142"/>
      <c r="L145" s="143"/>
      <c r="M145" s="142"/>
      <c r="N145" s="143"/>
      <c r="O145" s="142"/>
      <c r="P145" s="143"/>
      <c r="Q145" s="137"/>
      <c r="R145" s="120"/>
      <c r="S145" s="120"/>
      <c r="T145" s="110"/>
    </row>
    <row r="146" spans="1:20" s="65" customFormat="1">
      <c r="A146" s="140" t="s">
        <v>375</v>
      </c>
      <c r="B146" s="140" t="s">
        <v>301</v>
      </c>
      <c r="C146" s="110"/>
      <c r="D146" s="110"/>
      <c r="E146" s="110"/>
      <c r="F146" s="108" t="s">
        <v>376</v>
      </c>
      <c r="G146" s="110"/>
      <c r="H146" s="110"/>
      <c r="I146" s="110"/>
      <c r="J146" s="141">
        <f>SUM(J138:J145)</f>
        <v>9348.5399999999991</v>
      </c>
      <c r="K146" s="142"/>
      <c r="L146" s="141">
        <f>SUM(L138:L145)</f>
        <v>10109.909999999998</v>
      </c>
      <c r="M146" s="142"/>
      <c r="N146" s="141">
        <f>SUM(N138:N145)</f>
        <v>7112.34</v>
      </c>
      <c r="O146" s="142"/>
      <c r="P146" s="141">
        <f>SUM(P138:P145)</f>
        <v>58184.350000000006</v>
      </c>
      <c r="Q146" s="113">
        <f>IF(P$56=0,0,P146/P$56)</f>
        <v>3.9375210713192478E-2</v>
      </c>
      <c r="R146" s="120"/>
      <c r="S146" s="120"/>
      <c r="T146" s="110"/>
    </row>
    <row r="147" spans="1:20" s="65" customFormat="1" outlineLevel="1">
      <c r="A147" s="140" t="s">
        <v>301</v>
      </c>
      <c r="B147" s="140"/>
      <c r="C147" s="110"/>
      <c r="D147" s="110"/>
      <c r="E147" s="110"/>
      <c r="F147" s="110"/>
      <c r="G147" s="110"/>
      <c r="H147" s="110"/>
      <c r="I147" s="110"/>
      <c r="J147" s="142"/>
      <c r="K147" s="142"/>
      <c r="L147" s="142"/>
      <c r="M147" s="142"/>
      <c r="N147" s="142"/>
      <c r="O147" s="142"/>
      <c r="P147" s="142"/>
      <c r="Q147" s="137"/>
      <c r="R147" s="120"/>
      <c r="S147" s="120"/>
      <c r="T147" s="110"/>
    </row>
    <row r="148" spans="1:20" s="65" customFormat="1" outlineLevel="1">
      <c r="A148" s="140" t="s">
        <v>301</v>
      </c>
      <c r="B148" s="140" t="s">
        <v>301</v>
      </c>
      <c r="C148" s="110"/>
      <c r="D148" s="110"/>
      <c r="E148" s="110"/>
      <c r="F148" s="110"/>
      <c r="G148" s="110"/>
      <c r="H148" s="110"/>
      <c r="I148" s="110"/>
      <c r="J148" s="142"/>
      <c r="K148" s="142"/>
      <c r="L148" s="142"/>
      <c r="M148" s="142"/>
      <c r="N148" s="142"/>
      <c r="O148" s="142"/>
      <c r="P148" s="142"/>
      <c r="Q148" s="137"/>
      <c r="R148" s="120"/>
      <c r="S148" s="120"/>
      <c r="T148" s="110"/>
    </row>
    <row r="149" spans="1:20" outlineLevel="1">
      <c r="A149" s="105"/>
      <c r="B149" s="106" t="s">
        <v>377</v>
      </c>
      <c r="C149" s="105"/>
      <c r="D149" s="107">
        <v>57135</v>
      </c>
      <c r="E149" s="107" t="s">
        <v>556</v>
      </c>
      <c r="F149" s="108"/>
      <c r="G149" s="109"/>
      <c r="H149" s="110"/>
      <c r="I149" s="111"/>
      <c r="J149" s="112">
        <v>0</v>
      </c>
      <c r="K149" s="111"/>
      <c r="L149" s="112">
        <v>0</v>
      </c>
      <c r="M149" s="111"/>
      <c r="N149" s="112">
        <v>0</v>
      </c>
      <c r="O149" s="111"/>
      <c r="P149" s="112">
        <v>913.07</v>
      </c>
      <c r="Q149" s="113">
        <f t="shared" ref="Q149:Q159" si="10">IF(P$56=0,0,P149/P$56)</f>
        <v>6.1790367419924184E-4</v>
      </c>
      <c r="R149" s="114"/>
      <c r="S149" s="115"/>
      <c r="T149" s="105"/>
    </row>
    <row r="150" spans="1:20" outlineLevel="1">
      <c r="A150" s="105"/>
      <c r="B150" s="106" t="s">
        <v>308</v>
      </c>
      <c r="C150" s="105"/>
      <c r="D150" s="107">
        <v>57147</v>
      </c>
      <c r="E150" s="107" t="s">
        <v>378</v>
      </c>
      <c r="F150" s="108"/>
      <c r="G150" s="109"/>
      <c r="H150" s="110"/>
      <c r="I150" s="111"/>
      <c r="J150" s="112">
        <v>3333.72</v>
      </c>
      <c r="K150" s="111"/>
      <c r="L150" s="112">
        <v>1173.1099999999999</v>
      </c>
      <c r="M150" s="111"/>
      <c r="N150" s="112">
        <v>5.09</v>
      </c>
      <c r="O150" s="111"/>
      <c r="P150" s="112">
        <v>6856.79</v>
      </c>
      <c r="Q150" s="113">
        <f t="shared" si="10"/>
        <v>4.6402091123491284E-3</v>
      </c>
      <c r="R150" s="114"/>
      <c r="S150" s="115"/>
      <c r="T150" s="105"/>
    </row>
    <row r="151" spans="1:20" outlineLevel="1">
      <c r="A151" s="105"/>
      <c r="B151" s="106" t="s">
        <v>308</v>
      </c>
      <c r="C151" s="105"/>
      <c r="D151" s="107">
        <v>57170</v>
      </c>
      <c r="E151" s="107" t="s">
        <v>379</v>
      </c>
      <c r="F151" s="108"/>
      <c r="G151" s="109"/>
      <c r="H151" s="110"/>
      <c r="I151" s="111"/>
      <c r="J151" s="112">
        <v>475</v>
      </c>
      <c r="K151" s="111"/>
      <c r="L151" s="112">
        <v>475</v>
      </c>
      <c r="M151" s="111"/>
      <c r="N151" s="112">
        <v>475</v>
      </c>
      <c r="O151" s="111"/>
      <c r="P151" s="112">
        <v>2850</v>
      </c>
      <c r="Q151" s="113">
        <f t="shared" si="10"/>
        <v>1.928686159295387E-3</v>
      </c>
      <c r="R151" s="114"/>
      <c r="S151" s="115"/>
      <c r="T151" s="105"/>
    </row>
    <row r="152" spans="1:20" outlineLevel="1">
      <c r="A152" s="105"/>
      <c r="B152" s="106" t="s">
        <v>308</v>
      </c>
      <c r="C152" s="105"/>
      <c r="D152" s="107">
        <v>57254</v>
      </c>
      <c r="E152" s="107" t="s">
        <v>539</v>
      </c>
      <c r="F152" s="108"/>
      <c r="G152" s="109"/>
      <c r="H152" s="110"/>
      <c r="I152" s="111"/>
      <c r="J152" s="112">
        <v>1364.87</v>
      </c>
      <c r="K152" s="111"/>
      <c r="L152" s="112">
        <v>1101.9100000000001</v>
      </c>
      <c r="M152" s="111"/>
      <c r="N152" s="112">
        <v>1102.9000000000001</v>
      </c>
      <c r="O152" s="111"/>
      <c r="P152" s="112">
        <v>6731.85</v>
      </c>
      <c r="Q152" s="113">
        <f t="shared" si="10"/>
        <v>4.5556582180535619E-3</v>
      </c>
      <c r="R152" s="114"/>
      <c r="S152" s="115"/>
      <c r="T152" s="105"/>
    </row>
    <row r="153" spans="1:20" outlineLevel="1">
      <c r="A153" s="105"/>
      <c r="B153" s="106" t="s">
        <v>308</v>
      </c>
      <c r="C153" s="105"/>
      <c r="D153" s="107">
        <v>57255</v>
      </c>
      <c r="E153" s="107" t="s">
        <v>380</v>
      </c>
      <c r="F153" s="108"/>
      <c r="G153" s="109"/>
      <c r="H153" s="110"/>
      <c r="I153" s="111"/>
      <c r="J153" s="112">
        <v>2866.2</v>
      </c>
      <c r="K153" s="111"/>
      <c r="L153" s="112">
        <v>146.25</v>
      </c>
      <c r="M153" s="111"/>
      <c r="N153" s="112">
        <v>1720</v>
      </c>
      <c r="O153" s="111"/>
      <c r="P153" s="112">
        <v>11645.78</v>
      </c>
      <c r="Q153" s="113">
        <f t="shared" si="10"/>
        <v>7.8810718246312399E-3</v>
      </c>
      <c r="R153" s="114"/>
      <c r="S153" s="115"/>
      <c r="T153" s="105"/>
    </row>
    <row r="154" spans="1:20" outlineLevel="1">
      <c r="A154" s="105"/>
      <c r="B154" s="106" t="s">
        <v>308</v>
      </c>
      <c r="C154" s="105"/>
      <c r="D154" s="107">
        <v>57275</v>
      </c>
      <c r="E154" s="107" t="s">
        <v>381</v>
      </c>
      <c r="F154" s="108"/>
      <c r="G154" s="109"/>
      <c r="H154" s="110"/>
      <c r="I154" s="111"/>
      <c r="J154" s="112">
        <v>2114.25</v>
      </c>
      <c r="K154" s="111"/>
      <c r="L154" s="112">
        <v>380.14</v>
      </c>
      <c r="M154" s="111"/>
      <c r="N154" s="112">
        <v>0</v>
      </c>
      <c r="O154" s="111"/>
      <c r="P154" s="112">
        <v>3940.02</v>
      </c>
      <c r="Q154" s="113">
        <f t="shared" si="10"/>
        <v>2.6663375583673723E-3</v>
      </c>
      <c r="R154" s="114"/>
      <c r="S154" s="115"/>
      <c r="T154" s="105"/>
    </row>
    <row r="155" spans="1:20" outlineLevel="1">
      <c r="A155" s="105"/>
      <c r="B155" s="106" t="s">
        <v>308</v>
      </c>
      <c r="C155" s="105"/>
      <c r="D155" s="107">
        <v>57280</v>
      </c>
      <c r="E155" s="107" t="s">
        <v>382</v>
      </c>
      <c r="F155" s="108"/>
      <c r="G155" s="109"/>
      <c r="H155" s="110"/>
      <c r="I155" s="111"/>
      <c r="J155" s="112">
        <v>0</v>
      </c>
      <c r="K155" s="111"/>
      <c r="L155" s="112">
        <v>0</v>
      </c>
      <c r="M155" s="111"/>
      <c r="N155" s="112">
        <v>0</v>
      </c>
      <c r="O155" s="111"/>
      <c r="P155" s="112">
        <v>0</v>
      </c>
      <c r="Q155" s="113">
        <f t="shared" si="10"/>
        <v>0</v>
      </c>
      <c r="R155" s="114"/>
      <c r="S155" s="115"/>
      <c r="T155" s="105"/>
    </row>
    <row r="156" spans="1:20" outlineLevel="1">
      <c r="A156" s="105"/>
      <c r="B156" s="106" t="s">
        <v>308</v>
      </c>
      <c r="C156" s="105"/>
      <c r="D156" s="107">
        <v>57324</v>
      </c>
      <c r="E156" s="107" t="s">
        <v>540</v>
      </c>
      <c r="F156" s="108"/>
      <c r="G156" s="109"/>
      <c r="H156" s="110"/>
      <c r="I156" s="111"/>
      <c r="J156" s="112">
        <v>0</v>
      </c>
      <c r="K156" s="111"/>
      <c r="L156" s="112">
        <v>0</v>
      </c>
      <c r="M156" s="111"/>
      <c r="N156" s="112">
        <v>0</v>
      </c>
      <c r="O156" s="111"/>
      <c r="P156" s="112">
        <v>0</v>
      </c>
      <c r="Q156" s="113">
        <f t="shared" si="10"/>
        <v>0</v>
      </c>
      <c r="R156" s="114"/>
      <c r="S156" s="115"/>
      <c r="T156" s="105"/>
    </row>
    <row r="157" spans="1:20" outlineLevel="1">
      <c r="A157" s="105"/>
      <c r="B157" s="106" t="s">
        <v>308</v>
      </c>
      <c r="C157" s="105"/>
      <c r="D157" s="107">
        <v>57353</v>
      </c>
      <c r="E157" s="107" t="s">
        <v>541</v>
      </c>
      <c r="F157" s="108"/>
      <c r="G157" s="109"/>
      <c r="H157" s="110"/>
      <c r="I157" s="111"/>
      <c r="J157" s="112">
        <v>0</v>
      </c>
      <c r="K157" s="111"/>
      <c r="L157" s="112">
        <v>0</v>
      </c>
      <c r="M157" s="111"/>
      <c r="N157" s="112">
        <v>0</v>
      </c>
      <c r="O157" s="111"/>
      <c r="P157" s="112">
        <v>0</v>
      </c>
      <c r="Q157" s="113">
        <f t="shared" si="10"/>
        <v>0</v>
      </c>
      <c r="R157" s="114"/>
      <c r="S157" s="115"/>
      <c r="T157" s="105"/>
    </row>
    <row r="158" spans="1:20" outlineLevel="1">
      <c r="A158" s="105"/>
      <c r="B158" s="106" t="s">
        <v>308</v>
      </c>
      <c r="C158" s="105"/>
      <c r="D158" s="107">
        <v>57357</v>
      </c>
      <c r="E158" s="107" t="s">
        <v>383</v>
      </c>
      <c r="F158" s="108"/>
      <c r="G158" s="109"/>
      <c r="H158" s="110"/>
      <c r="I158" s="111"/>
      <c r="J158" s="112">
        <v>192.5</v>
      </c>
      <c r="K158" s="111"/>
      <c r="L158" s="112">
        <v>192.5</v>
      </c>
      <c r="M158" s="111"/>
      <c r="N158" s="112">
        <v>49</v>
      </c>
      <c r="O158" s="111"/>
      <c r="P158" s="112">
        <v>2166.5</v>
      </c>
      <c r="Q158" s="113">
        <f t="shared" si="10"/>
        <v>1.4661398470573531E-3</v>
      </c>
      <c r="R158" s="114"/>
      <c r="S158" s="115"/>
      <c r="T158" s="105"/>
    </row>
    <row r="159" spans="1:20" outlineLevel="1">
      <c r="A159" s="105"/>
      <c r="B159" s="106" t="s">
        <v>308</v>
      </c>
      <c r="C159" s="105"/>
      <c r="D159" s="107">
        <v>57370</v>
      </c>
      <c r="E159" s="107" t="s">
        <v>384</v>
      </c>
      <c r="F159" s="108"/>
      <c r="G159" s="109"/>
      <c r="H159" s="110"/>
      <c r="I159" s="111"/>
      <c r="J159" s="112">
        <v>1.34</v>
      </c>
      <c r="K159" s="111"/>
      <c r="L159" s="112">
        <v>1.34</v>
      </c>
      <c r="M159" s="111"/>
      <c r="N159" s="112">
        <v>0</v>
      </c>
      <c r="O159" s="111"/>
      <c r="P159" s="112">
        <v>50.89</v>
      </c>
      <c r="Q159" s="113">
        <f t="shared" si="10"/>
        <v>3.4438890753172717E-5</v>
      </c>
      <c r="R159" s="114"/>
      <c r="S159" s="115"/>
      <c r="T159" s="105"/>
    </row>
    <row r="160" spans="1:20" s="65" customFormat="1" ht="5.0999999999999996" customHeight="1" outlineLevel="1">
      <c r="A160" s="140" t="s">
        <v>301</v>
      </c>
      <c r="B160" s="138" t="s">
        <v>301</v>
      </c>
      <c r="C160" s="110"/>
      <c r="D160" s="108"/>
      <c r="E160" s="108"/>
      <c r="F160" s="108"/>
      <c r="G160" s="108"/>
      <c r="H160" s="110"/>
      <c r="I160" s="110"/>
      <c r="J160" s="143"/>
      <c r="K160" s="142"/>
      <c r="L160" s="143"/>
      <c r="M160" s="142"/>
      <c r="N160" s="143"/>
      <c r="O160" s="142"/>
      <c r="P160" s="143"/>
      <c r="Q160" s="137"/>
      <c r="R160" s="120"/>
      <c r="S160" s="120"/>
      <c r="T160" s="110"/>
    </row>
    <row r="161" spans="1:20" s="65" customFormat="1">
      <c r="A161" s="140" t="s">
        <v>377</v>
      </c>
      <c r="B161" s="138" t="s">
        <v>301</v>
      </c>
      <c r="C161" s="110"/>
      <c r="D161" s="110"/>
      <c r="E161" s="110"/>
      <c r="F161" s="108" t="s">
        <v>385</v>
      </c>
      <c r="G161" s="110"/>
      <c r="H161" s="110"/>
      <c r="I161" s="110"/>
      <c r="J161" s="141">
        <f>SUM(J148:J160)</f>
        <v>10347.880000000001</v>
      </c>
      <c r="K161" s="142"/>
      <c r="L161" s="141">
        <f>SUM(L148:L160)</f>
        <v>3470.25</v>
      </c>
      <c r="M161" s="142"/>
      <c r="N161" s="141">
        <f>SUM(N148:N160)</f>
        <v>3351.99</v>
      </c>
      <c r="O161" s="142"/>
      <c r="P161" s="141">
        <f>SUM(P148:P160)</f>
        <v>35154.899999999994</v>
      </c>
      <c r="Q161" s="113">
        <f>IF(P$56=0,0,P161/P$56)</f>
        <v>2.3790445284706453E-2</v>
      </c>
      <c r="R161" s="120"/>
      <c r="S161" s="120"/>
      <c r="T161" s="110"/>
    </row>
    <row r="162" spans="1:20" s="65" customFormat="1" outlineLevel="1">
      <c r="A162" s="138" t="s">
        <v>301</v>
      </c>
      <c r="B162" s="138"/>
      <c r="C162" s="110"/>
      <c r="D162" s="110"/>
      <c r="E162" s="110"/>
      <c r="F162" s="110"/>
      <c r="G162" s="110"/>
      <c r="H162" s="110"/>
      <c r="I162" s="110"/>
      <c r="J162" s="142"/>
      <c r="K162" s="142"/>
      <c r="L162" s="142"/>
      <c r="M162" s="142"/>
      <c r="N162" s="142"/>
      <c r="O162" s="142"/>
      <c r="P162" s="142"/>
      <c r="Q162" s="137"/>
      <c r="R162" s="120"/>
      <c r="S162" s="120"/>
      <c r="T162" s="110"/>
    </row>
    <row r="163" spans="1:20" s="65" customFormat="1" outlineLevel="1">
      <c r="A163" s="138" t="s">
        <v>301</v>
      </c>
      <c r="B163" s="138"/>
      <c r="C163" s="110"/>
      <c r="D163" s="151"/>
      <c r="E163" s="151"/>
      <c r="F163" s="151"/>
      <c r="G163" s="151"/>
      <c r="H163" s="151"/>
      <c r="I163" s="151"/>
      <c r="J163" s="152"/>
      <c r="K163" s="152"/>
      <c r="L163" s="152"/>
      <c r="M163" s="152"/>
      <c r="N163" s="152"/>
      <c r="O163" s="152"/>
      <c r="P163" s="152"/>
      <c r="Q163" s="153"/>
      <c r="R163" s="151"/>
      <c r="S163" s="120"/>
      <c r="T163" s="110"/>
    </row>
    <row r="164" spans="1:20" s="65" customFormat="1" ht="4.5" customHeight="1" outlineLevel="1">
      <c r="A164" s="138"/>
      <c r="B164" s="138"/>
      <c r="C164" s="110"/>
      <c r="D164" s="144"/>
      <c r="E164" s="110"/>
      <c r="F164" s="110"/>
      <c r="G164" s="110"/>
      <c r="H164" s="110"/>
      <c r="I164" s="110"/>
      <c r="J164" s="143"/>
      <c r="K164" s="142"/>
      <c r="L164" s="143"/>
      <c r="M164" s="142"/>
      <c r="N164" s="143"/>
      <c r="O164" s="142"/>
      <c r="P164" s="143"/>
      <c r="Q164" s="137"/>
      <c r="R164" s="120"/>
      <c r="S164" s="120"/>
      <c r="T164" s="110"/>
    </row>
    <row r="165" spans="1:20" s="65" customFormat="1">
      <c r="A165" s="138"/>
      <c r="B165" s="138"/>
      <c r="C165" s="110"/>
      <c r="D165" s="110"/>
      <c r="E165" s="110"/>
      <c r="F165" s="110" t="s">
        <v>386</v>
      </c>
      <c r="G165" s="110"/>
      <c r="H165" s="110"/>
      <c r="I165" s="110"/>
      <c r="J165" s="141">
        <f>SUM(J163:J164)</f>
        <v>0</v>
      </c>
      <c r="K165" s="142"/>
      <c r="L165" s="141">
        <f>SUM(L163:L164)</f>
        <v>0</v>
      </c>
      <c r="M165" s="142"/>
      <c r="N165" s="141">
        <f>SUM(N163:N164)</f>
        <v>0</v>
      </c>
      <c r="O165" s="142"/>
      <c r="P165" s="141">
        <f>SUM(P163:P164)</f>
        <v>0</v>
      </c>
      <c r="Q165" s="113">
        <f>IF(P$56=0,0,P165/P$56)</f>
        <v>0</v>
      </c>
      <c r="R165" s="120"/>
      <c r="S165" s="120"/>
      <c r="T165" s="110"/>
    </row>
    <row r="166" spans="1:20" s="65" customFormat="1" outlineLevel="1">
      <c r="A166" s="138"/>
      <c r="B166" s="138"/>
      <c r="C166" s="110"/>
      <c r="D166" s="110"/>
      <c r="E166" s="110"/>
      <c r="F166" s="110"/>
      <c r="G166" s="110"/>
      <c r="H166" s="110"/>
      <c r="I166" s="110"/>
      <c r="J166" s="142"/>
      <c r="K166" s="142"/>
      <c r="L166" s="142"/>
      <c r="M166" s="142"/>
      <c r="N166" s="142"/>
      <c r="O166" s="142"/>
      <c r="P166" s="142"/>
      <c r="Q166" s="137"/>
      <c r="R166" s="120"/>
      <c r="S166" s="120"/>
      <c r="T166" s="110"/>
    </row>
    <row r="167" spans="1:20" s="65" customFormat="1" outlineLevel="1">
      <c r="A167" s="138"/>
      <c r="B167" s="138"/>
      <c r="C167" s="110"/>
      <c r="D167" s="110"/>
      <c r="E167" s="110"/>
      <c r="F167" s="110"/>
      <c r="G167" s="110"/>
      <c r="H167" s="110"/>
      <c r="I167" s="110"/>
      <c r="J167" s="142"/>
      <c r="K167" s="142"/>
      <c r="L167" s="142"/>
      <c r="M167" s="142"/>
      <c r="N167" s="142"/>
      <c r="O167" s="142"/>
      <c r="P167" s="142"/>
      <c r="Q167" s="137"/>
      <c r="R167" s="120"/>
      <c r="S167" s="120"/>
      <c r="T167" s="110"/>
    </row>
    <row r="168" spans="1:20" outlineLevel="1">
      <c r="A168" s="105"/>
      <c r="B168" s="106" t="s">
        <v>387</v>
      </c>
      <c r="C168" s="105"/>
      <c r="D168" s="107">
        <v>59340</v>
      </c>
      <c r="E168" s="107" t="s">
        <v>388</v>
      </c>
      <c r="F168" s="108"/>
      <c r="G168" s="109"/>
      <c r="H168" s="110"/>
      <c r="I168" s="111"/>
      <c r="J168" s="112">
        <v>1575.08</v>
      </c>
      <c r="K168" s="111"/>
      <c r="L168" s="112">
        <v>1575.08</v>
      </c>
      <c r="M168" s="111"/>
      <c r="N168" s="112">
        <v>1575.08</v>
      </c>
      <c r="O168" s="111"/>
      <c r="P168" s="112">
        <v>9450.48</v>
      </c>
      <c r="Q168" s="113">
        <f t="shared" ref="Q168:Q170" si="11">IF(P$56=0,0,P168/P$56)</f>
        <v>6.395442096385217E-3</v>
      </c>
      <c r="R168" s="114"/>
      <c r="S168" s="115"/>
      <c r="T168" s="105"/>
    </row>
    <row r="169" spans="1:20" outlineLevel="1">
      <c r="A169" s="105"/>
      <c r="B169" s="106" t="s">
        <v>308</v>
      </c>
      <c r="C169" s="105"/>
      <c r="D169" s="107">
        <v>59344</v>
      </c>
      <c r="E169" s="107" t="s">
        <v>390</v>
      </c>
      <c r="F169" s="108"/>
      <c r="G169" s="109"/>
      <c r="H169" s="110"/>
      <c r="I169" s="111"/>
      <c r="J169" s="112">
        <v>0</v>
      </c>
      <c r="K169" s="111"/>
      <c r="L169" s="112">
        <v>0</v>
      </c>
      <c r="M169" s="111"/>
      <c r="N169" s="112">
        <v>24700</v>
      </c>
      <c r="O169" s="111"/>
      <c r="P169" s="112">
        <v>25353.86</v>
      </c>
      <c r="Q169" s="113">
        <f t="shared" si="11"/>
        <v>1.715776802340805E-2</v>
      </c>
      <c r="R169" s="114"/>
      <c r="S169" s="115"/>
      <c r="T169" s="105"/>
    </row>
    <row r="170" spans="1:20" outlineLevel="1">
      <c r="A170" s="105"/>
      <c r="B170" s="106" t="s">
        <v>308</v>
      </c>
      <c r="C170" s="105"/>
      <c r="D170" s="107">
        <v>59500</v>
      </c>
      <c r="E170" s="107" t="s">
        <v>391</v>
      </c>
      <c r="F170" s="108"/>
      <c r="G170" s="109"/>
      <c r="H170" s="110"/>
      <c r="I170" s="111"/>
      <c r="J170" s="112">
        <v>150</v>
      </c>
      <c r="K170" s="111"/>
      <c r="L170" s="112">
        <v>22.53</v>
      </c>
      <c r="M170" s="111"/>
      <c r="N170" s="112">
        <v>178.56</v>
      </c>
      <c r="O170" s="111"/>
      <c r="P170" s="112">
        <v>801.09</v>
      </c>
      <c r="Q170" s="113">
        <f t="shared" si="11"/>
        <v>5.4212322643857605E-4</v>
      </c>
      <c r="R170" s="114"/>
      <c r="S170" s="115"/>
      <c r="T170" s="105"/>
    </row>
    <row r="171" spans="1:20" s="65" customFormat="1" ht="5.0999999999999996" customHeight="1" outlineLevel="1">
      <c r="A171" s="138"/>
      <c r="B171" s="138" t="s">
        <v>301</v>
      </c>
      <c r="C171" s="110"/>
      <c r="D171" s="108"/>
      <c r="E171" s="108"/>
      <c r="F171" s="108"/>
      <c r="G171" s="108"/>
      <c r="H171" s="110"/>
      <c r="I171" s="110"/>
      <c r="J171" s="143"/>
      <c r="K171" s="142"/>
      <c r="L171" s="143"/>
      <c r="M171" s="142"/>
      <c r="N171" s="143"/>
      <c r="O171" s="142"/>
      <c r="P171" s="143"/>
      <c r="Q171" s="137"/>
      <c r="R171" s="120"/>
      <c r="S171" s="120"/>
      <c r="T171" s="110"/>
    </row>
    <row r="172" spans="1:20" s="65" customFormat="1">
      <c r="A172" s="140" t="s">
        <v>387</v>
      </c>
      <c r="B172" s="147"/>
      <c r="C172" s="110"/>
      <c r="D172" s="110"/>
      <c r="E172" s="110"/>
      <c r="F172" s="108" t="s">
        <v>392</v>
      </c>
      <c r="G172" s="110"/>
      <c r="H172" s="110"/>
      <c r="I172" s="110"/>
      <c r="J172" s="141">
        <f>SUM(J167:J171)</f>
        <v>1725.08</v>
      </c>
      <c r="K172" s="142"/>
      <c r="L172" s="141">
        <f>SUM(L167:L171)</f>
        <v>1597.61</v>
      </c>
      <c r="M172" s="142"/>
      <c r="N172" s="141">
        <f>SUM(N167:N171)</f>
        <v>26453.640000000003</v>
      </c>
      <c r="O172" s="142"/>
      <c r="P172" s="141">
        <f>SUM(P167:P171)</f>
        <v>35605.429999999993</v>
      </c>
      <c r="Q172" s="113">
        <f>IF(P$56=0,0,P172/P$56)</f>
        <v>2.4095333346231838E-2</v>
      </c>
      <c r="R172" s="120"/>
      <c r="S172" s="120"/>
      <c r="T172" s="110"/>
    </row>
    <row r="173" spans="1:20" s="65" customFormat="1" outlineLevel="1">
      <c r="A173" s="138" t="s">
        <v>301</v>
      </c>
      <c r="B173" s="138" t="s">
        <v>301</v>
      </c>
      <c r="C173" s="110"/>
      <c r="D173" s="110"/>
      <c r="E173" s="110"/>
      <c r="F173" s="110"/>
      <c r="G173" s="110"/>
      <c r="H173" s="110"/>
      <c r="I173" s="110"/>
      <c r="J173" s="142"/>
      <c r="K173" s="142"/>
      <c r="L173" s="142"/>
      <c r="M173" s="142"/>
      <c r="N173" s="142"/>
      <c r="O173" s="142"/>
      <c r="P173" s="142"/>
      <c r="Q173" s="137"/>
      <c r="R173" s="120"/>
      <c r="S173" s="120"/>
      <c r="T173" s="110"/>
    </row>
    <row r="174" spans="1:20" outlineLevel="1">
      <c r="A174" s="105"/>
      <c r="B174" s="106" t="s">
        <v>393</v>
      </c>
      <c r="C174" s="105"/>
      <c r="D174" s="107">
        <v>91010</v>
      </c>
      <c r="E174" s="107" t="s">
        <v>542</v>
      </c>
      <c r="F174" s="108"/>
      <c r="G174" s="109"/>
      <c r="H174" s="110"/>
      <c r="I174" s="111"/>
      <c r="J174" s="112">
        <v>-500</v>
      </c>
      <c r="K174" s="111"/>
      <c r="L174" s="112">
        <v>0</v>
      </c>
      <c r="M174" s="111"/>
      <c r="N174" s="112">
        <v>0</v>
      </c>
      <c r="O174" s="111"/>
      <c r="P174" s="112">
        <v>-500</v>
      </c>
      <c r="Q174" s="113">
        <f>IF(P$56=0,0,P174/P$56)</f>
        <v>-3.3836599285883982E-4</v>
      </c>
      <c r="R174" s="114"/>
      <c r="S174" s="115"/>
      <c r="T174" s="105"/>
    </row>
    <row r="175" spans="1:20" s="65" customFormat="1" ht="5.0999999999999996" customHeight="1" outlineLevel="1">
      <c r="A175" s="138" t="s">
        <v>301</v>
      </c>
      <c r="B175" s="140" t="s">
        <v>301</v>
      </c>
      <c r="C175" s="110"/>
      <c r="D175" s="108"/>
      <c r="E175" s="108"/>
      <c r="F175" s="108"/>
      <c r="G175" s="108"/>
      <c r="H175" s="110"/>
      <c r="I175" s="110"/>
      <c r="J175" s="143"/>
      <c r="K175" s="142"/>
      <c r="L175" s="143"/>
      <c r="M175" s="142"/>
      <c r="N175" s="143"/>
      <c r="O175" s="142"/>
      <c r="P175" s="143"/>
      <c r="Q175" s="137"/>
      <c r="R175" s="120"/>
      <c r="S175" s="120"/>
      <c r="T175" s="110"/>
    </row>
    <row r="176" spans="1:20" s="65" customFormat="1">
      <c r="A176" s="140" t="s">
        <v>393</v>
      </c>
      <c r="B176" s="140" t="s">
        <v>301</v>
      </c>
      <c r="C176" s="110"/>
      <c r="D176" s="110"/>
      <c r="E176" s="110"/>
      <c r="F176" s="107" t="s">
        <v>394</v>
      </c>
      <c r="G176" s="110"/>
      <c r="H176" s="110"/>
      <c r="I176" s="110"/>
      <c r="J176" s="141">
        <f>SUM(J174:J175)</f>
        <v>-500</v>
      </c>
      <c r="K176" s="142"/>
      <c r="L176" s="141">
        <f>SUM(L174:L175)</f>
        <v>0</v>
      </c>
      <c r="M176" s="142"/>
      <c r="N176" s="141">
        <f>SUM(N174:N175)</f>
        <v>0</v>
      </c>
      <c r="O176" s="142"/>
      <c r="P176" s="141">
        <f>SUM(P174:P175)</f>
        <v>-500</v>
      </c>
      <c r="Q176" s="113">
        <f>IF(P$56=0,0,P176/P$56)</f>
        <v>-3.3836599285883982E-4</v>
      </c>
      <c r="R176" s="120"/>
      <c r="S176" s="120"/>
      <c r="T176" s="110"/>
    </row>
    <row r="177" spans="1:20" s="65" customFormat="1" ht="7.5" customHeight="1">
      <c r="A177" s="140" t="s">
        <v>301</v>
      </c>
      <c r="B177" s="140"/>
      <c r="C177" s="110"/>
      <c r="D177" s="110"/>
      <c r="E177" s="110"/>
      <c r="F177" s="110"/>
      <c r="G177" s="110"/>
      <c r="H177" s="110"/>
      <c r="I177" s="110"/>
      <c r="J177" s="142"/>
      <c r="K177" s="142"/>
      <c r="L177" s="142"/>
      <c r="M177" s="142"/>
      <c r="N177" s="142"/>
      <c r="O177" s="142"/>
      <c r="P177" s="142"/>
      <c r="Q177" s="137"/>
      <c r="R177" s="120"/>
      <c r="S177" s="120"/>
      <c r="T177" s="110"/>
    </row>
    <row r="178" spans="1:20" s="65" customFormat="1">
      <c r="A178" s="140" t="s">
        <v>301</v>
      </c>
      <c r="B178" s="140"/>
      <c r="C178" s="110"/>
      <c r="D178" s="110"/>
      <c r="E178" s="150" t="s">
        <v>395</v>
      </c>
      <c r="F178" s="110"/>
      <c r="G178" s="110"/>
      <c r="H178" s="110"/>
      <c r="I178" s="110"/>
      <c r="J178" s="146">
        <f>+J102+J106+J130+J136+J146+J161+J172+J165+J176</f>
        <v>102293.61</v>
      </c>
      <c r="K178" s="142"/>
      <c r="L178" s="146">
        <f>+L102+L106+L130+L136+L146+L161+L172+L165+L176</f>
        <v>97812.94</v>
      </c>
      <c r="M178" s="142"/>
      <c r="N178" s="146">
        <f>+N102+N106+N130+N136+N146+N161+N172+N165+N176</f>
        <v>117001.38999999998</v>
      </c>
      <c r="O178" s="142"/>
      <c r="P178" s="146">
        <f>+P102+P106+P130+P136+P146+P161+P172+P165+P176</f>
        <v>653440.17999999993</v>
      </c>
      <c r="Q178" s="113">
        <f>IF(P$56=0,0,P178/P$56)</f>
        <v>0.44220387055911797</v>
      </c>
      <c r="R178" s="120"/>
      <c r="S178" s="120"/>
      <c r="T178" s="110"/>
    </row>
    <row r="179" spans="1:20" s="65" customFormat="1" ht="7.5" customHeight="1">
      <c r="A179" s="140"/>
      <c r="B179" s="140"/>
      <c r="C179" s="110"/>
      <c r="D179" s="110"/>
      <c r="E179" s="110"/>
      <c r="F179" s="110"/>
      <c r="G179" s="110"/>
      <c r="H179" s="110"/>
      <c r="I179" s="110"/>
      <c r="J179" s="142"/>
      <c r="K179" s="142"/>
      <c r="L179" s="142"/>
      <c r="M179" s="142"/>
      <c r="N179" s="142"/>
      <c r="O179" s="142"/>
      <c r="P179" s="142"/>
      <c r="Q179" s="137"/>
      <c r="R179" s="120"/>
      <c r="S179" s="120"/>
      <c r="T179" s="110"/>
    </row>
    <row r="180" spans="1:20" s="65" customFormat="1">
      <c r="A180" s="140"/>
      <c r="B180" s="138" t="s">
        <v>301</v>
      </c>
      <c r="C180" s="110"/>
      <c r="D180" s="110"/>
      <c r="E180" s="150" t="s">
        <v>396</v>
      </c>
      <c r="F180" s="110"/>
      <c r="G180" s="110"/>
      <c r="H180" s="110"/>
      <c r="I180" s="110"/>
      <c r="J180" s="146">
        <f>J88-J178</f>
        <v>66953.969999999958</v>
      </c>
      <c r="K180" s="142"/>
      <c r="L180" s="146">
        <f>L88-L178</f>
        <v>61774.929999999993</v>
      </c>
      <c r="M180" s="142"/>
      <c r="N180" s="146">
        <f>N88-N178</f>
        <v>133615.38999999998</v>
      </c>
      <c r="O180" s="142"/>
      <c r="P180" s="146">
        <f>P88-P178</f>
        <v>396684.75000000023</v>
      </c>
      <c r="Q180" s="113">
        <f>IF(P$56=0,0,P180/P$56)</f>
        <v>0.26844925857142149</v>
      </c>
      <c r="R180" s="120"/>
      <c r="S180" s="120"/>
      <c r="T180" s="110"/>
    </row>
    <row r="181" spans="1:20" s="65" customFormat="1" ht="7.5" customHeight="1">
      <c r="A181" s="140"/>
      <c r="B181" s="138" t="s">
        <v>301</v>
      </c>
      <c r="C181" s="110"/>
      <c r="D181" s="110"/>
      <c r="E181" s="110"/>
      <c r="F181" s="110"/>
      <c r="G181" s="110"/>
      <c r="H181" s="110"/>
      <c r="I181" s="110"/>
      <c r="J181" s="142"/>
      <c r="K181" s="142"/>
      <c r="L181" s="142"/>
      <c r="M181" s="142"/>
      <c r="N181" s="142"/>
      <c r="O181" s="142"/>
      <c r="P181" s="142"/>
      <c r="Q181" s="137"/>
      <c r="R181" s="120"/>
      <c r="S181" s="120"/>
      <c r="T181" s="110"/>
    </row>
    <row r="182" spans="1:20" s="65" customFormat="1" outlineLevel="1">
      <c r="A182" s="138" t="s">
        <v>301</v>
      </c>
      <c r="B182" s="138" t="s">
        <v>301</v>
      </c>
      <c r="C182" s="110"/>
      <c r="D182" s="110"/>
      <c r="E182" s="110"/>
      <c r="F182" s="110"/>
      <c r="G182" s="110"/>
      <c r="H182" s="110"/>
      <c r="I182" s="110"/>
      <c r="J182" s="142"/>
      <c r="K182" s="142"/>
      <c r="L182" s="142"/>
      <c r="M182" s="142"/>
      <c r="N182" s="142"/>
      <c r="O182" s="142"/>
      <c r="P182" s="142"/>
      <c r="Q182" s="137"/>
      <c r="R182" s="120"/>
      <c r="S182" s="120"/>
      <c r="T182" s="110"/>
    </row>
    <row r="183" spans="1:20" outlineLevel="1">
      <c r="A183" s="105"/>
      <c r="B183" s="106" t="s">
        <v>397</v>
      </c>
      <c r="C183" s="105"/>
      <c r="D183" s="107">
        <v>60225</v>
      </c>
      <c r="E183" s="107" t="s">
        <v>398</v>
      </c>
      <c r="F183" s="108"/>
      <c r="G183" s="109"/>
      <c r="H183" s="110"/>
      <c r="I183" s="111"/>
      <c r="J183" s="112">
        <v>100</v>
      </c>
      <c r="K183" s="111"/>
      <c r="L183" s="112">
        <v>0</v>
      </c>
      <c r="M183" s="111"/>
      <c r="N183" s="112">
        <v>150</v>
      </c>
      <c r="O183" s="111"/>
      <c r="P183" s="112">
        <v>462.5</v>
      </c>
      <c r="Q183" s="113">
        <f>IF(P$56=0,0,P183/P$56)</f>
        <v>3.1298854339442683E-4</v>
      </c>
      <c r="R183" s="114"/>
      <c r="S183" s="115"/>
      <c r="T183" s="105"/>
    </row>
    <row r="184" spans="1:20" s="65" customFormat="1" ht="5.0999999999999996" customHeight="1" outlineLevel="1">
      <c r="A184" s="138" t="s">
        <v>301</v>
      </c>
      <c r="B184" s="140" t="s">
        <v>301</v>
      </c>
      <c r="C184" s="110"/>
      <c r="D184" s="108"/>
      <c r="E184" s="108"/>
      <c r="F184" s="108"/>
      <c r="G184" s="108"/>
      <c r="H184" s="110"/>
      <c r="I184" s="110"/>
      <c r="J184" s="143"/>
      <c r="K184" s="142"/>
      <c r="L184" s="143"/>
      <c r="M184" s="142"/>
      <c r="N184" s="143"/>
      <c r="O184" s="142"/>
      <c r="P184" s="143"/>
      <c r="Q184" s="137"/>
      <c r="R184" s="120"/>
      <c r="S184" s="120"/>
      <c r="T184" s="110"/>
    </row>
    <row r="185" spans="1:20" s="65" customFormat="1">
      <c r="A185" s="140" t="s">
        <v>397</v>
      </c>
      <c r="B185" s="140" t="s">
        <v>301</v>
      </c>
      <c r="C185" s="110"/>
      <c r="D185" s="110"/>
      <c r="E185" s="110"/>
      <c r="F185" s="108" t="s">
        <v>399</v>
      </c>
      <c r="G185" s="110"/>
      <c r="H185" s="110"/>
      <c r="I185" s="110"/>
      <c r="J185" s="141">
        <f>SUM(J182:J184)</f>
        <v>100</v>
      </c>
      <c r="K185" s="142"/>
      <c r="L185" s="141">
        <f>SUM(L182:L184)</f>
        <v>0</v>
      </c>
      <c r="M185" s="142"/>
      <c r="N185" s="141">
        <f>SUM(N182:N184)</f>
        <v>150</v>
      </c>
      <c r="O185" s="142"/>
      <c r="P185" s="141">
        <f>SUM(P182:P184)</f>
        <v>462.5</v>
      </c>
      <c r="Q185" s="113">
        <f>IF(P$56=0,0,P185/P$56)</f>
        <v>3.1298854339442683E-4</v>
      </c>
      <c r="R185" s="120"/>
      <c r="S185" s="120"/>
      <c r="T185" s="110"/>
    </row>
    <row r="186" spans="1:20" s="65" customFormat="1" outlineLevel="1">
      <c r="A186" s="140" t="s">
        <v>301</v>
      </c>
      <c r="B186" s="140"/>
      <c r="C186" s="110"/>
      <c r="D186" s="110"/>
      <c r="E186" s="110"/>
      <c r="F186" s="110"/>
      <c r="G186" s="110"/>
      <c r="H186" s="110"/>
      <c r="I186" s="110"/>
      <c r="J186" s="142"/>
      <c r="K186" s="142"/>
      <c r="L186" s="142"/>
      <c r="M186" s="142"/>
      <c r="N186" s="142"/>
      <c r="O186" s="142"/>
      <c r="P186" s="142"/>
      <c r="Q186" s="137"/>
      <c r="R186" s="120"/>
      <c r="S186" s="120"/>
      <c r="T186" s="110"/>
    </row>
    <row r="187" spans="1:20" s="65" customFormat="1" outlineLevel="1">
      <c r="A187" s="140" t="s">
        <v>301</v>
      </c>
      <c r="B187" s="140" t="s">
        <v>301</v>
      </c>
      <c r="C187" s="110"/>
      <c r="D187" s="110"/>
      <c r="E187" s="110"/>
      <c r="F187" s="110"/>
      <c r="G187" s="110"/>
      <c r="H187" s="110"/>
      <c r="I187" s="110"/>
      <c r="J187" s="142"/>
      <c r="K187" s="142"/>
      <c r="L187" s="142"/>
      <c r="M187" s="142"/>
      <c r="N187" s="142"/>
      <c r="O187" s="142"/>
      <c r="P187" s="142"/>
      <c r="Q187" s="137"/>
      <c r="R187" s="120"/>
      <c r="S187" s="120"/>
      <c r="T187" s="110"/>
    </row>
    <row r="188" spans="1:20" outlineLevel="1">
      <c r="A188" s="105"/>
      <c r="B188" s="106" t="s">
        <v>400</v>
      </c>
      <c r="C188" s="105"/>
      <c r="D188" s="107">
        <v>70010</v>
      </c>
      <c r="E188" s="107" t="s">
        <v>360</v>
      </c>
      <c r="F188" s="108"/>
      <c r="G188" s="109"/>
      <c r="H188" s="110"/>
      <c r="I188" s="111"/>
      <c r="J188" s="112">
        <v>3925.11</v>
      </c>
      <c r="K188" s="111"/>
      <c r="L188" s="112">
        <v>4144.29</v>
      </c>
      <c r="M188" s="111"/>
      <c r="N188" s="112">
        <v>0</v>
      </c>
      <c r="O188" s="111"/>
      <c r="P188" s="112">
        <v>20222.150000000001</v>
      </c>
      <c r="Q188" s="113">
        <f t="shared" ref="Q188:Q225" si="12">IF(P$56=0,0,P188/P$56)</f>
        <v>1.3684975724980777E-2</v>
      </c>
      <c r="R188" s="114"/>
      <c r="S188" s="115"/>
      <c r="T188" s="105"/>
    </row>
    <row r="189" spans="1:20" outlineLevel="1">
      <c r="A189" s="105"/>
      <c r="B189" s="106" t="s">
        <v>308</v>
      </c>
      <c r="C189" s="105"/>
      <c r="D189" s="107">
        <v>70020</v>
      </c>
      <c r="E189" s="107" t="s">
        <v>345</v>
      </c>
      <c r="F189" s="108"/>
      <c r="G189" s="109"/>
      <c r="H189" s="110"/>
      <c r="I189" s="111"/>
      <c r="J189" s="112">
        <v>4852.6499999999996</v>
      </c>
      <c r="K189" s="111"/>
      <c r="L189" s="112">
        <v>5189.1499999999996</v>
      </c>
      <c r="M189" s="111"/>
      <c r="N189" s="112">
        <v>4845.57</v>
      </c>
      <c r="O189" s="111"/>
      <c r="P189" s="112">
        <v>29918.49</v>
      </c>
      <c r="Q189" s="113">
        <f t="shared" si="12"/>
        <v>2.0246799147374542E-2</v>
      </c>
      <c r="R189" s="114"/>
      <c r="S189" s="115"/>
      <c r="T189" s="105"/>
    </row>
    <row r="190" spans="1:20" outlineLevel="1">
      <c r="A190" s="105"/>
      <c r="B190" s="106" t="s">
        <v>308</v>
      </c>
      <c r="C190" s="105"/>
      <c r="D190" s="107">
        <v>70025</v>
      </c>
      <c r="E190" s="107" t="s">
        <v>346</v>
      </c>
      <c r="F190" s="108"/>
      <c r="G190" s="109"/>
      <c r="H190" s="110"/>
      <c r="I190" s="111"/>
      <c r="J190" s="112">
        <v>32.19</v>
      </c>
      <c r="K190" s="111"/>
      <c r="L190" s="112">
        <v>6.25</v>
      </c>
      <c r="M190" s="111"/>
      <c r="N190" s="112">
        <v>117.61</v>
      </c>
      <c r="O190" s="111"/>
      <c r="P190" s="112">
        <v>220.56</v>
      </c>
      <c r="Q190" s="113">
        <f t="shared" si="12"/>
        <v>1.4926000676989144E-4</v>
      </c>
      <c r="R190" s="114"/>
      <c r="S190" s="115"/>
      <c r="T190" s="105"/>
    </row>
    <row r="191" spans="1:20" outlineLevel="1">
      <c r="A191" s="105"/>
      <c r="B191" s="106" t="s">
        <v>308</v>
      </c>
      <c r="C191" s="105"/>
      <c r="D191" s="107">
        <v>70036</v>
      </c>
      <c r="E191" s="107" t="s">
        <v>401</v>
      </c>
      <c r="F191" s="108"/>
      <c r="G191" s="109"/>
      <c r="H191" s="110"/>
      <c r="I191" s="111"/>
      <c r="J191" s="112">
        <v>1862</v>
      </c>
      <c r="K191" s="111"/>
      <c r="L191" s="112">
        <v>266</v>
      </c>
      <c r="M191" s="111"/>
      <c r="N191" s="112">
        <v>0</v>
      </c>
      <c r="O191" s="111"/>
      <c r="P191" s="112">
        <v>3458.25</v>
      </c>
      <c r="Q191" s="113">
        <f t="shared" si="12"/>
        <v>2.3403083896081658E-3</v>
      </c>
      <c r="R191" s="114"/>
      <c r="S191" s="115"/>
      <c r="T191" s="105"/>
    </row>
    <row r="192" spans="1:20" outlineLevel="1">
      <c r="A192" s="105"/>
      <c r="B192" s="106" t="s">
        <v>308</v>
      </c>
      <c r="C192" s="105"/>
      <c r="D192" s="107">
        <v>70050</v>
      </c>
      <c r="E192" s="107" t="s">
        <v>348</v>
      </c>
      <c r="F192" s="108"/>
      <c r="G192" s="109"/>
      <c r="H192" s="110"/>
      <c r="I192" s="111"/>
      <c r="J192" s="112">
        <v>872.96</v>
      </c>
      <c r="K192" s="111"/>
      <c r="L192" s="112">
        <v>749.97</v>
      </c>
      <c r="M192" s="111"/>
      <c r="N192" s="112">
        <v>436.78</v>
      </c>
      <c r="O192" s="111"/>
      <c r="P192" s="112">
        <v>4476.88</v>
      </c>
      <c r="Q192" s="113">
        <f t="shared" si="12"/>
        <v>3.0296478922197658E-3</v>
      </c>
      <c r="R192" s="114"/>
      <c r="S192" s="115"/>
      <c r="T192" s="105"/>
    </row>
    <row r="193" spans="1:20" outlineLevel="1">
      <c r="A193" s="105"/>
      <c r="B193" s="106" t="s">
        <v>308</v>
      </c>
      <c r="C193" s="105"/>
      <c r="D193" s="107">
        <v>70060</v>
      </c>
      <c r="E193" s="107" t="s">
        <v>349</v>
      </c>
      <c r="F193" s="108"/>
      <c r="G193" s="109"/>
      <c r="H193" s="110"/>
      <c r="I193" s="111"/>
      <c r="J193" s="112">
        <v>2440.85</v>
      </c>
      <c r="K193" s="111"/>
      <c r="L193" s="112">
        <v>2353.3200000000002</v>
      </c>
      <c r="M193" s="111"/>
      <c r="N193" s="112">
        <v>1845.84</v>
      </c>
      <c r="O193" s="111"/>
      <c r="P193" s="112">
        <v>13659.42</v>
      </c>
      <c r="Q193" s="113">
        <f t="shared" si="12"/>
        <v>9.2437664203517886E-3</v>
      </c>
      <c r="R193" s="114"/>
      <c r="S193" s="115"/>
      <c r="T193" s="105"/>
    </row>
    <row r="194" spans="1:20" outlineLevel="1">
      <c r="A194" s="105"/>
      <c r="B194" s="106" t="s">
        <v>308</v>
      </c>
      <c r="C194" s="105"/>
      <c r="D194" s="107">
        <v>70065</v>
      </c>
      <c r="E194" s="107" t="s">
        <v>350</v>
      </c>
      <c r="F194" s="108"/>
      <c r="G194" s="109"/>
      <c r="H194" s="110"/>
      <c r="I194" s="111"/>
      <c r="J194" s="112">
        <v>245.93</v>
      </c>
      <c r="K194" s="111"/>
      <c r="L194" s="112">
        <v>416.46</v>
      </c>
      <c r="M194" s="111"/>
      <c r="N194" s="112">
        <v>386.75</v>
      </c>
      <c r="O194" s="111"/>
      <c r="P194" s="112">
        <v>2014.25</v>
      </c>
      <c r="Q194" s="113">
        <f t="shared" si="12"/>
        <v>1.3631074022318363E-3</v>
      </c>
      <c r="R194" s="114"/>
      <c r="S194" s="115"/>
      <c r="T194" s="105"/>
    </row>
    <row r="195" spans="1:20" outlineLevel="1">
      <c r="A195" s="105"/>
      <c r="B195" s="106" t="s">
        <v>308</v>
      </c>
      <c r="C195" s="105"/>
      <c r="D195" s="107">
        <v>70070</v>
      </c>
      <c r="E195" s="107" t="s">
        <v>351</v>
      </c>
      <c r="F195" s="108"/>
      <c r="G195" s="109"/>
      <c r="H195" s="110"/>
      <c r="I195" s="111"/>
      <c r="J195" s="112">
        <v>1.25</v>
      </c>
      <c r="K195" s="111"/>
      <c r="L195" s="112">
        <v>0.89</v>
      </c>
      <c r="M195" s="111"/>
      <c r="N195" s="112">
        <v>0</v>
      </c>
      <c r="O195" s="111"/>
      <c r="P195" s="112">
        <v>319.61</v>
      </c>
      <c r="Q195" s="113">
        <f t="shared" si="12"/>
        <v>2.1629030995522761E-4</v>
      </c>
      <c r="R195" s="114"/>
      <c r="S195" s="115"/>
      <c r="T195" s="105"/>
    </row>
    <row r="196" spans="1:20" outlineLevel="1">
      <c r="A196" s="105"/>
      <c r="B196" s="106" t="s">
        <v>308</v>
      </c>
      <c r="C196" s="105"/>
      <c r="D196" s="107">
        <v>70086</v>
      </c>
      <c r="E196" s="107" t="s">
        <v>352</v>
      </c>
      <c r="F196" s="108"/>
      <c r="G196" s="109"/>
      <c r="H196" s="110"/>
      <c r="I196" s="111"/>
      <c r="J196" s="112">
        <v>0</v>
      </c>
      <c r="K196" s="111"/>
      <c r="L196" s="112">
        <v>0</v>
      </c>
      <c r="M196" s="111"/>
      <c r="N196" s="112">
        <v>0</v>
      </c>
      <c r="O196" s="111"/>
      <c r="P196" s="112">
        <v>0</v>
      </c>
      <c r="Q196" s="113">
        <f t="shared" si="12"/>
        <v>0</v>
      </c>
      <c r="R196" s="114"/>
      <c r="S196" s="115"/>
      <c r="T196" s="105"/>
    </row>
    <row r="197" spans="1:20" outlineLevel="1">
      <c r="A197" s="105"/>
      <c r="B197" s="106" t="s">
        <v>308</v>
      </c>
      <c r="C197" s="105"/>
      <c r="D197" s="107">
        <v>70095</v>
      </c>
      <c r="E197" s="107" t="s">
        <v>402</v>
      </c>
      <c r="F197" s="108"/>
      <c r="G197" s="109"/>
      <c r="H197" s="110"/>
      <c r="I197" s="111"/>
      <c r="J197" s="112">
        <v>75.73</v>
      </c>
      <c r="K197" s="111"/>
      <c r="L197" s="112">
        <v>0</v>
      </c>
      <c r="M197" s="111"/>
      <c r="N197" s="112">
        <v>146.26</v>
      </c>
      <c r="O197" s="111"/>
      <c r="P197" s="112">
        <v>1301.68</v>
      </c>
      <c r="Q197" s="113">
        <f t="shared" si="12"/>
        <v>8.808884911689893E-4</v>
      </c>
      <c r="R197" s="114"/>
      <c r="S197" s="115"/>
      <c r="T197" s="105"/>
    </row>
    <row r="198" spans="1:20" outlineLevel="1">
      <c r="A198" s="105"/>
      <c r="B198" s="106" t="s">
        <v>308</v>
      </c>
      <c r="C198" s="105"/>
      <c r="D198" s="107">
        <v>70105</v>
      </c>
      <c r="E198" s="107" t="s">
        <v>543</v>
      </c>
      <c r="F198" s="108"/>
      <c r="G198" s="109"/>
      <c r="H198" s="110"/>
      <c r="I198" s="111"/>
      <c r="J198" s="112">
        <v>206.22</v>
      </c>
      <c r="K198" s="111"/>
      <c r="L198" s="112">
        <v>206.22</v>
      </c>
      <c r="M198" s="111"/>
      <c r="N198" s="112">
        <v>0</v>
      </c>
      <c r="O198" s="111"/>
      <c r="P198" s="112">
        <v>1031.0999999999999</v>
      </c>
      <c r="Q198" s="113">
        <f t="shared" si="12"/>
        <v>6.9777835047349942E-4</v>
      </c>
      <c r="R198" s="114"/>
      <c r="S198" s="115"/>
      <c r="T198" s="105"/>
    </row>
    <row r="199" spans="1:20" outlineLevel="1">
      <c r="A199" s="105"/>
      <c r="B199" s="106" t="s">
        <v>308</v>
      </c>
      <c r="C199" s="105"/>
      <c r="D199" s="107">
        <v>70110</v>
      </c>
      <c r="E199" s="107" t="s">
        <v>544</v>
      </c>
      <c r="F199" s="108"/>
      <c r="G199" s="109"/>
      <c r="H199" s="110"/>
      <c r="I199" s="111"/>
      <c r="J199" s="112">
        <v>50</v>
      </c>
      <c r="K199" s="111"/>
      <c r="L199" s="112">
        <v>125</v>
      </c>
      <c r="M199" s="111"/>
      <c r="N199" s="112">
        <v>0</v>
      </c>
      <c r="O199" s="111"/>
      <c r="P199" s="112">
        <v>825</v>
      </c>
      <c r="Q199" s="113">
        <f t="shared" si="12"/>
        <v>5.5830388821708572E-4</v>
      </c>
      <c r="R199" s="114"/>
      <c r="S199" s="115"/>
      <c r="T199" s="105"/>
    </row>
    <row r="200" spans="1:20" outlineLevel="1">
      <c r="A200" s="105"/>
      <c r="B200" s="106" t="s">
        <v>308</v>
      </c>
      <c r="C200" s="105"/>
      <c r="D200" s="107">
        <v>70116</v>
      </c>
      <c r="E200" s="107" t="s">
        <v>354</v>
      </c>
      <c r="F200" s="108"/>
      <c r="G200" s="109"/>
      <c r="H200" s="110"/>
      <c r="I200" s="111"/>
      <c r="J200" s="112">
        <v>214.47</v>
      </c>
      <c r="K200" s="111"/>
      <c r="L200" s="112">
        <v>246.37</v>
      </c>
      <c r="M200" s="111"/>
      <c r="N200" s="112">
        <v>114.22</v>
      </c>
      <c r="O200" s="111"/>
      <c r="P200" s="112">
        <v>1131.04</v>
      </c>
      <c r="Q200" s="113">
        <f t="shared" si="12"/>
        <v>7.654109451261244E-4</v>
      </c>
      <c r="R200" s="114"/>
      <c r="S200" s="115"/>
      <c r="T200" s="105"/>
    </row>
    <row r="201" spans="1:20" outlineLevel="1">
      <c r="A201" s="105"/>
      <c r="B201" s="106" t="s">
        <v>308</v>
      </c>
      <c r="C201" s="105"/>
      <c r="D201" s="107">
        <v>70147</v>
      </c>
      <c r="E201" s="107" t="s">
        <v>545</v>
      </c>
      <c r="F201" s="108"/>
      <c r="G201" s="109"/>
      <c r="H201" s="110"/>
      <c r="I201" s="111"/>
      <c r="J201" s="112">
        <v>30.94</v>
      </c>
      <c r="K201" s="111"/>
      <c r="L201" s="112">
        <v>515.54</v>
      </c>
      <c r="M201" s="111"/>
      <c r="N201" s="112">
        <v>0</v>
      </c>
      <c r="O201" s="111"/>
      <c r="P201" s="112">
        <v>560.44000000000005</v>
      </c>
      <c r="Q201" s="113">
        <f t="shared" si="12"/>
        <v>3.7926767407561642E-4</v>
      </c>
      <c r="R201" s="114"/>
      <c r="S201" s="115"/>
      <c r="T201" s="105"/>
    </row>
    <row r="202" spans="1:20" outlineLevel="1">
      <c r="A202" s="105"/>
      <c r="B202" s="106" t="s">
        <v>308</v>
      </c>
      <c r="C202" s="105"/>
      <c r="D202" s="107">
        <v>70148</v>
      </c>
      <c r="E202" s="107" t="s">
        <v>373</v>
      </c>
      <c r="F202" s="108"/>
      <c r="G202" s="109"/>
      <c r="H202" s="110"/>
      <c r="I202" s="111"/>
      <c r="J202" s="112">
        <v>683.24</v>
      </c>
      <c r="K202" s="111"/>
      <c r="L202" s="112">
        <v>1436.52</v>
      </c>
      <c r="M202" s="111"/>
      <c r="N202" s="112">
        <v>0</v>
      </c>
      <c r="O202" s="111"/>
      <c r="P202" s="112">
        <v>5314.52</v>
      </c>
      <c r="Q202" s="113">
        <f t="shared" si="12"/>
        <v>3.5965056727363231E-3</v>
      </c>
      <c r="R202" s="114"/>
      <c r="S202" s="115"/>
      <c r="T202" s="105"/>
    </row>
    <row r="203" spans="1:20" outlineLevel="1">
      <c r="A203" s="105"/>
      <c r="B203" s="106" t="s">
        <v>308</v>
      </c>
      <c r="C203" s="105"/>
      <c r="D203" s="107">
        <v>70150</v>
      </c>
      <c r="E203" s="107" t="s">
        <v>368</v>
      </c>
      <c r="F203" s="108"/>
      <c r="G203" s="109"/>
      <c r="H203" s="110"/>
      <c r="I203" s="111"/>
      <c r="J203" s="112">
        <v>1076.95</v>
      </c>
      <c r="K203" s="111"/>
      <c r="L203" s="112">
        <v>281.81</v>
      </c>
      <c r="M203" s="111"/>
      <c r="N203" s="112">
        <v>-548.66</v>
      </c>
      <c r="O203" s="111"/>
      <c r="P203" s="112">
        <v>6227.48</v>
      </c>
      <c r="Q203" s="113">
        <f t="shared" si="12"/>
        <v>4.2143349064171351E-3</v>
      </c>
      <c r="R203" s="114"/>
      <c r="S203" s="115"/>
      <c r="T203" s="105"/>
    </row>
    <row r="204" spans="1:20" outlineLevel="1">
      <c r="A204" s="105"/>
      <c r="B204" s="106" t="s">
        <v>308</v>
      </c>
      <c r="C204" s="105"/>
      <c r="D204" s="107">
        <v>70165</v>
      </c>
      <c r="E204" s="107" t="s">
        <v>369</v>
      </c>
      <c r="F204" s="108"/>
      <c r="G204" s="109"/>
      <c r="H204" s="110"/>
      <c r="I204" s="111"/>
      <c r="J204" s="112">
        <v>753.33</v>
      </c>
      <c r="K204" s="111"/>
      <c r="L204" s="112">
        <v>1490.79</v>
      </c>
      <c r="M204" s="111"/>
      <c r="N204" s="112">
        <v>1023.54</v>
      </c>
      <c r="O204" s="111"/>
      <c r="P204" s="112">
        <v>6276.89</v>
      </c>
      <c r="Q204" s="113">
        <f t="shared" si="12"/>
        <v>4.2477722338314467E-3</v>
      </c>
      <c r="R204" s="114"/>
      <c r="S204" s="115"/>
      <c r="T204" s="105"/>
    </row>
    <row r="205" spans="1:20" outlineLevel="1">
      <c r="A205" s="105"/>
      <c r="B205" s="106" t="s">
        <v>308</v>
      </c>
      <c r="C205" s="105"/>
      <c r="D205" s="107">
        <v>70167</v>
      </c>
      <c r="E205" s="107" t="s">
        <v>403</v>
      </c>
      <c r="F205" s="108"/>
      <c r="G205" s="109"/>
      <c r="H205" s="110"/>
      <c r="I205" s="111"/>
      <c r="J205" s="112">
        <v>116.5</v>
      </c>
      <c r="K205" s="111"/>
      <c r="L205" s="112">
        <v>-33.5</v>
      </c>
      <c r="M205" s="111"/>
      <c r="N205" s="112">
        <v>136.22</v>
      </c>
      <c r="O205" s="111"/>
      <c r="P205" s="112">
        <v>561.21</v>
      </c>
      <c r="Q205" s="113">
        <f t="shared" si="12"/>
        <v>3.7978875770461904E-4</v>
      </c>
      <c r="R205" s="114"/>
      <c r="S205" s="115"/>
      <c r="T205" s="105"/>
    </row>
    <row r="206" spans="1:20" outlineLevel="1">
      <c r="A206" s="105"/>
      <c r="B206" s="106" t="s">
        <v>308</v>
      </c>
      <c r="C206" s="105"/>
      <c r="D206" s="107">
        <v>70175</v>
      </c>
      <c r="E206" s="107" t="s">
        <v>404</v>
      </c>
      <c r="F206" s="108"/>
      <c r="G206" s="109"/>
      <c r="H206" s="110"/>
      <c r="I206" s="111"/>
      <c r="J206" s="112">
        <v>1063.1099999999999</v>
      </c>
      <c r="K206" s="111"/>
      <c r="L206" s="112">
        <v>545.21</v>
      </c>
      <c r="M206" s="111"/>
      <c r="N206" s="112">
        <v>35.340000000000003</v>
      </c>
      <c r="O206" s="111"/>
      <c r="P206" s="112">
        <v>2095.6999999999998</v>
      </c>
      <c r="Q206" s="113">
        <f t="shared" si="12"/>
        <v>1.4182272224685412E-3</v>
      </c>
      <c r="R206" s="114"/>
      <c r="S206" s="115"/>
      <c r="T206" s="105"/>
    </row>
    <row r="207" spans="1:20" outlineLevel="1">
      <c r="A207" s="105"/>
      <c r="B207" s="106" t="s">
        <v>308</v>
      </c>
      <c r="C207" s="105"/>
      <c r="D207" s="107">
        <v>70185</v>
      </c>
      <c r="E207" s="107" t="s">
        <v>405</v>
      </c>
      <c r="F207" s="108"/>
      <c r="G207" s="109"/>
      <c r="H207" s="110"/>
      <c r="I207" s="111"/>
      <c r="J207" s="112">
        <v>101.54</v>
      </c>
      <c r="K207" s="111"/>
      <c r="L207" s="112">
        <v>7.22</v>
      </c>
      <c r="M207" s="111"/>
      <c r="N207" s="112">
        <v>7.22</v>
      </c>
      <c r="O207" s="111"/>
      <c r="P207" s="112">
        <v>133.46</v>
      </c>
      <c r="Q207" s="113">
        <f t="shared" si="12"/>
        <v>9.031665081388154E-5</v>
      </c>
      <c r="R207" s="114"/>
      <c r="S207" s="115"/>
      <c r="T207" s="105"/>
    </row>
    <row r="208" spans="1:20" outlineLevel="1">
      <c r="A208" s="105"/>
      <c r="B208" s="106" t="s">
        <v>308</v>
      </c>
      <c r="C208" s="105"/>
      <c r="D208" s="107">
        <v>70195</v>
      </c>
      <c r="E208" s="107" t="s">
        <v>406</v>
      </c>
      <c r="F208" s="108"/>
      <c r="G208" s="109"/>
      <c r="H208" s="110"/>
      <c r="I208" s="111"/>
      <c r="J208" s="112">
        <v>95.47</v>
      </c>
      <c r="K208" s="111"/>
      <c r="L208" s="112">
        <v>95.47</v>
      </c>
      <c r="M208" s="111"/>
      <c r="N208" s="112">
        <v>92.73</v>
      </c>
      <c r="O208" s="111"/>
      <c r="P208" s="112">
        <v>1455.47</v>
      </c>
      <c r="Q208" s="113">
        <f t="shared" si="12"/>
        <v>9.849631032525113E-4</v>
      </c>
      <c r="R208" s="114"/>
      <c r="S208" s="115"/>
      <c r="T208" s="105"/>
    </row>
    <row r="209" spans="1:20" outlineLevel="1">
      <c r="A209" s="105"/>
      <c r="B209" s="106" t="s">
        <v>308</v>
      </c>
      <c r="C209" s="105"/>
      <c r="D209" s="107">
        <v>70200</v>
      </c>
      <c r="E209" s="107" t="s">
        <v>407</v>
      </c>
      <c r="F209" s="108"/>
      <c r="G209" s="109"/>
      <c r="H209" s="110"/>
      <c r="I209" s="111"/>
      <c r="J209" s="112">
        <v>0</v>
      </c>
      <c r="K209" s="111"/>
      <c r="L209" s="112">
        <v>75</v>
      </c>
      <c r="M209" s="111"/>
      <c r="N209" s="112">
        <v>50</v>
      </c>
      <c r="O209" s="111"/>
      <c r="P209" s="112">
        <v>110</v>
      </c>
      <c r="Q209" s="113">
        <f t="shared" si="12"/>
        <v>7.4440518428944765E-5</v>
      </c>
      <c r="R209" s="114"/>
      <c r="S209" s="115"/>
      <c r="T209" s="105"/>
    </row>
    <row r="210" spans="1:20" outlineLevel="1">
      <c r="A210" s="105"/>
      <c r="B210" s="106" t="s">
        <v>308</v>
      </c>
      <c r="C210" s="105"/>
      <c r="D210" s="107">
        <v>70201</v>
      </c>
      <c r="E210" s="107" t="s">
        <v>408</v>
      </c>
      <c r="F210" s="108"/>
      <c r="G210" s="109"/>
      <c r="H210" s="110"/>
      <c r="I210" s="111"/>
      <c r="J210" s="112">
        <v>0</v>
      </c>
      <c r="K210" s="111"/>
      <c r="L210" s="112">
        <v>0</v>
      </c>
      <c r="M210" s="111"/>
      <c r="N210" s="112">
        <v>0</v>
      </c>
      <c r="O210" s="111"/>
      <c r="P210" s="112">
        <v>194.97</v>
      </c>
      <c r="Q210" s="113">
        <f t="shared" si="12"/>
        <v>1.31942435255376E-4</v>
      </c>
      <c r="R210" s="114"/>
      <c r="S210" s="115"/>
      <c r="T210" s="105"/>
    </row>
    <row r="211" spans="1:20" outlineLevel="1">
      <c r="A211" s="105"/>
      <c r="B211" s="106" t="s">
        <v>308</v>
      </c>
      <c r="C211" s="105"/>
      <c r="D211" s="107">
        <v>70202</v>
      </c>
      <c r="E211" s="107" t="s">
        <v>546</v>
      </c>
      <c r="F211" s="108"/>
      <c r="G211" s="109"/>
      <c r="H211" s="110"/>
      <c r="I211" s="111"/>
      <c r="J211" s="112">
        <v>903.54</v>
      </c>
      <c r="K211" s="111"/>
      <c r="L211" s="112">
        <v>174.2</v>
      </c>
      <c r="M211" s="111"/>
      <c r="N211" s="112">
        <v>0</v>
      </c>
      <c r="O211" s="111"/>
      <c r="P211" s="112">
        <v>2769.34</v>
      </c>
      <c r="Q211" s="113">
        <f t="shared" si="12"/>
        <v>1.8741009573273991E-3</v>
      </c>
      <c r="R211" s="114"/>
      <c r="S211" s="115"/>
      <c r="T211" s="105"/>
    </row>
    <row r="212" spans="1:20" outlineLevel="1">
      <c r="A212" s="105"/>
      <c r="B212" s="106" t="s">
        <v>308</v>
      </c>
      <c r="C212" s="105"/>
      <c r="D212" s="107">
        <v>70203</v>
      </c>
      <c r="E212" s="107" t="s">
        <v>409</v>
      </c>
      <c r="F212" s="108"/>
      <c r="G212" s="109"/>
      <c r="H212" s="110"/>
      <c r="I212" s="111"/>
      <c r="J212" s="112">
        <v>-285.74</v>
      </c>
      <c r="K212" s="111"/>
      <c r="L212" s="112">
        <v>473.92</v>
      </c>
      <c r="M212" s="111"/>
      <c r="N212" s="112">
        <v>0</v>
      </c>
      <c r="O212" s="111"/>
      <c r="P212" s="112">
        <v>616.79999999999995</v>
      </c>
      <c r="Q212" s="113">
        <f t="shared" si="12"/>
        <v>4.174082887906648E-4</v>
      </c>
      <c r="R212" s="114"/>
      <c r="S212" s="115"/>
      <c r="T212" s="105"/>
    </row>
    <row r="213" spans="1:20" outlineLevel="1">
      <c r="A213" s="105"/>
      <c r="B213" s="106" t="s">
        <v>308</v>
      </c>
      <c r="C213" s="105"/>
      <c r="D213" s="107">
        <v>70205</v>
      </c>
      <c r="E213" s="107" t="s">
        <v>410</v>
      </c>
      <c r="F213" s="108"/>
      <c r="G213" s="109"/>
      <c r="H213" s="110"/>
      <c r="I213" s="111"/>
      <c r="J213" s="112">
        <v>840.24</v>
      </c>
      <c r="K213" s="111"/>
      <c r="L213" s="112">
        <v>852.76</v>
      </c>
      <c r="M213" s="111"/>
      <c r="N213" s="112">
        <v>479.67</v>
      </c>
      <c r="O213" s="111"/>
      <c r="P213" s="112">
        <v>3689.26</v>
      </c>
      <c r="Q213" s="113">
        <f t="shared" si="12"/>
        <v>2.4966402456288068E-3</v>
      </c>
      <c r="R213" s="114"/>
      <c r="S213" s="115"/>
      <c r="T213" s="105"/>
    </row>
    <row r="214" spans="1:20" outlineLevel="1">
      <c r="A214" s="105"/>
      <c r="B214" s="106" t="s">
        <v>308</v>
      </c>
      <c r="C214" s="105"/>
      <c r="D214" s="107">
        <v>70206</v>
      </c>
      <c r="E214" s="107" t="s">
        <v>411</v>
      </c>
      <c r="F214" s="108"/>
      <c r="G214" s="109"/>
      <c r="H214" s="110"/>
      <c r="I214" s="111"/>
      <c r="J214" s="112">
        <v>499.96</v>
      </c>
      <c r="K214" s="111"/>
      <c r="L214" s="112">
        <v>110.46</v>
      </c>
      <c r="M214" s="111"/>
      <c r="N214" s="112">
        <v>62.09</v>
      </c>
      <c r="O214" s="111"/>
      <c r="P214" s="112">
        <v>1059.32</v>
      </c>
      <c r="Q214" s="113">
        <f t="shared" si="12"/>
        <v>7.1687572711045242E-4</v>
      </c>
      <c r="R214" s="114"/>
      <c r="S214" s="115"/>
      <c r="T214" s="105"/>
    </row>
    <row r="215" spans="1:20" outlineLevel="1">
      <c r="A215" s="105"/>
      <c r="B215" s="106" t="s">
        <v>308</v>
      </c>
      <c r="C215" s="105"/>
      <c r="D215" s="107">
        <v>70210</v>
      </c>
      <c r="E215" s="107" t="s">
        <v>412</v>
      </c>
      <c r="F215" s="108"/>
      <c r="G215" s="109"/>
      <c r="H215" s="110"/>
      <c r="I215" s="111"/>
      <c r="J215" s="112">
        <v>1048.19</v>
      </c>
      <c r="K215" s="111"/>
      <c r="L215" s="112">
        <v>454.58</v>
      </c>
      <c r="M215" s="111"/>
      <c r="N215" s="112">
        <v>236.96</v>
      </c>
      <c r="O215" s="111"/>
      <c r="P215" s="112">
        <v>4804.1400000000003</v>
      </c>
      <c r="Q215" s="113">
        <f t="shared" si="12"/>
        <v>3.2511152018657339E-3</v>
      </c>
      <c r="R215" s="114"/>
      <c r="S215" s="115"/>
      <c r="T215" s="105"/>
    </row>
    <row r="216" spans="1:20" outlineLevel="1">
      <c r="A216" s="105"/>
      <c r="B216" s="106" t="s">
        <v>308</v>
      </c>
      <c r="C216" s="105"/>
      <c r="D216" s="107">
        <v>70214</v>
      </c>
      <c r="E216" s="107" t="s">
        <v>413</v>
      </c>
      <c r="F216" s="108"/>
      <c r="G216" s="109"/>
      <c r="H216" s="110"/>
      <c r="I216" s="111"/>
      <c r="J216" s="112">
        <v>459.08</v>
      </c>
      <c r="K216" s="111"/>
      <c r="L216" s="112">
        <v>410</v>
      </c>
      <c r="M216" s="111"/>
      <c r="N216" s="112">
        <v>505.22</v>
      </c>
      <c r="O216" s="111"/>
      <c r="P216" s="112">
        <v>2611.25</v>
      </c>
      <c r="Q216" s="113">
        <f t="shared" si="12"/>
        <v>1.767116397705291E-3</v>
      </c>
      <c r="R216" s="114"/>
      <c r="S216" s="115"/>
      <c r="T216" s="105"/>
    </row>
    <row r="217" spans="1:20" outlineLevel="1">
      <c r="A217" s="105"/>
      <c r="B217" s="106" t="s">
        <v>308</v>
      </c>
      <c r="C217" s="105"/>
      <c r="D217" s="107">
        <v>70215</v>
      </c>
      <c r="E217" s="107" t="s">
        <v>547</v>
      </c>
      <c r="F217" s="108"/>
      <c r="G217" s="109"/>
      <c r="H217" s="110"/>
      <c r="I217" s="111"/>
      <c r="J217" s="112">
        <v>0</v>
      </c>
      <c r="K217" s="111"/>
      <c r="L217" s="112">
        <v>0</v>
      </c>
      <c r="M217" s="111"/>
      <c r="N217" s="112">
        <v>0</v>
      </c>
      <c r="O217" s="111"/>
      <c r="P217" s="112">
        <v>0</v>
      </c>
      <c r="Q217" s="113">
        <f t="shared" si="12"/>
        <v>0</v>
      </c>
      <c r="R217" s="114"/>
      <c r="S217" s="115"/>
      <c r="T217" s="105"/>
    </row>
    <row r="218" spans="1:20" outlineLevel="1">
      <c r="A218" s="105"/>
      <c r="B218" s="106" t="s">
        <v>308</v>
      </c>
      <c r="C218" s="105"/>
      <c r="D218" s="107">
        <v>70225</v>
      </c>
      <c r="E218" s="107" t="s">
        <v>398</v>
      </c>
      <c r="F218" s="108"/>
      <c r="G218" s="109"/>
      <c r="H218" s="110"/>
      <c r="I218" s="111"/>
      <c r="J218" s="112">
        <v>0</v>
      </c>
      <c r="K218" s="111"/>
      <c r="L218" s="112">
        <v>0</v>
      </c>
      <c r="M218" s="111"/>
      <c r="N218" s="112">
        <v>0</v>
      </c>
      <c r="O218" s="111"/>
      <c r="P218" s="112">
        <v>0</v>
      </c>
      <c r="Q218" s="113">
        <f t="shared" si="12"/>
        <v>0</v>
      </c>
      <c r="R218" s="114"/>
      <c r="S218" s="115"/>
      <c r="T218" s="105"/>
    </row>
    <row r="219" spans="1:20" outlineLevel="1">
      <c r="A219" s="105"/>
      <c r="B219" s="106" t="s">
        <v>308</v>
      </c>
      <c r="C219" s="105"/>
      <c r="D219" s="107">
        <v>70231</v>
      </c>
      <c r="E219" s="107" t="s">
        <v>548</v>
      </c>
      <c r="F219" s="108"/>
      <c r="G219" s="109"/>
      <c r="H219" s="110"/>
      <c r="I219" s="111"/>
      <c r="J219" s="112">
        <v>0</v>
      </c>
      <c r="K219" s="111"/>
      <c r="L219" s="112">
        <v>0</v>
      </c>
      <c r="M219" s="111"/>
      <c r="N219" s="112">
        <v>0</v>
      </c>
      <c r="O219" s="111"/>
      <c r="P219" s="112">
        <v>0</v>
      </c>
      <c r="Q219" s="113">
        <f t="shared" si="12"/>
        <v>0</v>
      </c>
      <c r="R219" s="114"/>
      <c r="S219" s="115"/>
      <c r="T219" s="105"/>
    </row>
    <row r="220" spans="1:20" outlineLevel="1">
      <c r="A220" s="105"/>
      <c r="B220" s="106" t="s">
        <v>308</v>
      </c>
      <c r="C220" s="105"/>
      <c r="D220" s="107">
        <v>70245</v>
      </c>
      <c r="E220" s="107" t="s">
        <v>414</v>
      </c>
      <c r="F220" s="108"/>
      <c r="G220" s="109"/>
      <c r="H220" s="110"/>
      <c r="I220" s="111"/>
      <c r="J220" s="112">
        <v>51.16</v>
      </c>
      <c r="K220" s="111"/>
      <c r="L220" s="112">
        <v>52.08</v>
      </c>
      <c r="M220" s="111"/>
      <c r="N220" s="112">
        <v>50.98</v>
      </c>
      <c r="O220" s="111"/>
      <c r="P220" s="112">
        <v>308.64999999999998</v>
      </c>
      <c r="Q220" s="113">
        <f t="shared" si="12"/>
        <v>2.088733273917618E-4</v>
      </c>
      <c r="R220" s="114"/>
      <c r="S220" s="115"/>
      <c r="T220" s="105"/>
    </row>
    <row r="221" spans="1:20" outlineLevel="1">
      <c r="A221" s="105"/>
      <c r="B221" s="106" t="s">
        <v>308</v>
      </c>
      <c r="C221" s="105"/>
      <c r="D221" s="107">
        <v>70255</v>
      </c>
      <c r="E221" s="107" t="s">
        <v>380</v>
      </c>
      <c r="F221" s="108"/>
      <c r="G221" s="109"/>
      <c r="H221" s="110"/>
      <c r="I221" s="111"/>
      <c r="J221" s="112">
        <v>53.2</v>
      </c>
      <c r="K221" s="111"/>
      <c r="L221" s="112">
        <v>57.53</v>
      </c>
      <c r="M221" s="111"/>
      <c r="N221" s="112">
        <v>-57.53</v>
      </c>
      <c r="O221" s="111"/>
      <c r="P221" s="112">
        <v>182.84</v>
      </c>
      <c r="Q221" s="113">
        <f t="shared" si="12"/>
        <v>1.2373367626862056E-4</v>
      </c>
      <c r="R221" s="114"/>
      <c r="S221" s="115"/>
      <c r="T221" s="105"/>
    </row>
    <row r="222" spans="1:20" outlineLevel="1">
      <c r="A222" s="105"/>
      <c r="B222" s="106" t="s">
        <v>308</v>
      </c>
      <c r="C222" s="105"/>
      <c r="D222" s="107">
        <v>70300</v>
      </c>
      <c r="E222" s="107" t="s">
        <v>415</v>
      </c>
      <c r="F222" s="108"/>
      <c r="G222" s="109"/>
      <c r="H222" s="110"/>
      <c r="I222" s="111"/>
      <c r="J222" s="112">
        <v>1418.56</v>
      </c>
      <c r="K222" s="111"/>
      <c r="L222" s="112">
        <v>1418.56</v>
      </c>
      <c r="M222" s="111"/>
      <c r="N222" s="112">
        <v>1418.56</v>
      </c>
      <c r="O222" s="111"/>
      <c r="P222" s="112">
        <v>8511.36</v>
      </c>
      <c r="Q222" s="113">
        <f t="shared" si="12"/>
        <v>5.7599095539580302E-3</v>
      </c>
      <c r="R222" s="114"/>
      <c r="S222" s="115"/>
      <c r="T222" s="105"/>
    </row>
    <row r="223" spans="1:20" outlineLevel="1">
      <c r="A223" s="105"/>
      <c r="B223" s="106" t="s">
        <v>308</v>
      </c>
      <c r="C223" s="105"/>
      <c r="D223" s="107">
        <v>70310</v>
      </c>
      <c r="E223" s="107" t="s">
        <v>416</v>
      </c>
      <c r="F223" s="108"/>
      <c r="G223" s="109"/>
      <c r="H223" s="110"/>
      <c r="I223" s="111"/>
      <c r="J223" s="112">
        <v>289.12</v>
      </c>
      <c r="K223" s="111"/>
      <c r="L223" s="112">
        <v>1188.72</v>
      </c>
      <c r="M223" s="111"/>
      <c r="N223" s="112">
        <v>0</v>
      </c>
      <c r="O223" s="111"/>
      <c r="P223" s="112">
        <v>2444.06</v>
      </c>
      <c r="Q223" s="113">
        <f t="shared" si="12"/>
        <v>1.6539735770131521E-3</v>
      </c>
      <c r="R223" s="114"/>
      <c r="S223" s="115"/>
      <c r="T223" s="105"/>
    </row>
    <row r="224" spans="1:20" outlineLevel="1">
      <c r="A224" s="105"/>
      <c r="B224" s="106" t="s">
        <v>308</v>
      </c>
      <c r="C224" s="105"/>
      <c r="D224" s="107">
        <v>70320</v>
      </c>
      <c r="E224" s="107" t="s">
        <v>417</v>
      </c>
      <c r="F224" s="108"/>
      <c r="G224" s="109"/>
      <c r="H224" s="110"/>
      <c r="I224" s="111"/>
      <c r="J224" s="112">
        <v>106.6</v>
      </c>
      <c r="K224" s="111"/>
      <c r="L224" s="112">
        <v>208.83</v>
      </c>
      <c r="M224" s="111"/>
      <c r="N224" s="112">
        <v>-13.43</v>
      </c>
      <c r="O224" s="111"/>
      <c r="P224" s="112">
        <v>689.55</v>
      </c>
      <c r="Q224" s="113">
        <f t="shared" si="12"/>
        <v>4.6664054075162598E-4</v>
      </c>
      <c r="R224" s="114"/>
      <c r="S224" s="115"/>
      <c r="T224" s="105"/>
    </row>
    <row r="225" spans="1:20" outlineLevel="1">
      <c r="A225" s="105"/>
      <c r="B225" s="106" t="s">
        <v>308</v>
      </c>
      <c r="C225" s="105"/>
      <c r="D225" s="107">
        <v>70336</v>
      </c>
      <c r="E225" s="107" t="s">
        <v>551</v>
      </c>
      <c r="F225" s="108"/>
      <c r="G225" s="109"/>
      <c r="H225" s="110"/>
      <c r="I225" s="111"/>
      <c r="J225" s="112">
        <v>56.65</v>
      </c>
      <c r="K225" s="111"/>
      <c r="L225" s="112">
        <v>54.51</v>
      </c>
      <c r="M225" s="111"/>
      <c r="N225" s="112">
        <v>65</v>
      </c>
      <c r="O225" s="111"/>
      <c r="P225" s="112">
        <v>367.23</v>
      </c>
      <c r="Q225" s="113">
        <f t="shared" si="12"/>
        <v>2.4851628711510351E-4</v>
      </c>
      <c r="R225" s="114"/>
      <c r="S225" s="115"/>
      <c r="T225" s="105"/>
    </row>
    <row r="226" spans="1:20" s="65" customFormat="1" ht="5.0999999999999996" customHeight="1" outlineLevel="1">
      <c r="A226" s="140" t="s">
        <v>301</v>
      </c>
      <c r="B226" s="140" t="s">
        <v>301</v>
      </c>
      <c r="C226" s="110"/>
      <c r="D226" s="108"/>
      <c r="E226" s="108"/>
      <c r="F226" s="108"/>
      <c r="G226" s="108"/>
      <c r="H226" s="110"/>
      <c r="I226" s="110"/>
      <c r="J226" s="143"/>
      <c r="K226" s="142"/>
      <c r="L226" s="143"/>
      <c r="M226" s="142"/>
      <c r="N226" s="143"/>
      <c r="O226" s="142"/>
      <c r="P226" s="143"/>
      <c r="Q226" s="137"/>
      <c r="R226" s="120"/>
      <c r="S226" s="120"/>
      <c r="T226" s="110"/>
    </row>
    <row r="227" spans="1:20" s="65" customFormat="1">
      <c r="A227" s="140" t="s">
        <v>400</v>
      </c>
      <c r="B227" s="140" t="s">
        <v>301</v>
      </c>
      <c r="C227" s="110"/>
      <c r="D227" s="110"/>
      <c r="E227" s="110"/>
      <c r="F227" s="108" t="s">
        <v>419</v>
      </c>
      <c r="G227" s="110"/>
      <c r="H227" s="110"/>
      <c r="I227" s="110"/>
      <c r="J227" s="141">
        <f>SUM(J187:J226)</f>
        <v>24141.000000000004</v>
      </c>
      <c r="K227" s="142"/>
      <c r="L227" s="141">
        <f>SUM(L187:L226)</f>
        <v>23574.129999999997</v>
      </c>
      <c r="M227" s="142"/>
      <c r="N227" s="141">
        <f>SUM(N187:N226)</f>
        <v>11436.939999999995</v>
      </c>
      <c r="O227" s="142"/>
      <c r="P227" s="141">
        <f>SUM(P187:P226)</f>
        <v>129562.37</v>
      </c>
      <c r="Q227" s="113">
        <f>IF(P$56=0,0,P227/P$56)</f>
        <v>8.7678999924388726E-2</v>
      </c>
      <c r="R227" s="120"/>
      <c r="S227" s="120"/>
      <c r="T227" s="110"/>
    </row>
    <row r="228" spans="1:20" s="65" customFormat="1" outlineLevel="1">
      <c r="A228" s="140" t="s">
        <v>301</v>
      </c>
      <c r="B228" s="140" t="s">
        <v>301</v>
      </c>
      <c r="C228" s="110"/>
      <c r="D228" s="110"/>
      <c r="E228" s="110"/>
      <c r="F228" s="110"/>
      <c r="G228" s="110"/>
      <c r="H228" s="110"/>
      <c r="I228" s="110"/>
      <c r="J228" s="142"/>
      <c r="K228" s="142"/>
      <c r="L228" s="142"/>
      <c r="M228" s="142"/>
      <c r="N228" s="142"/>
      <c r="O228" s="142"/>
      <c r="P228" s="142"/>
      <c r="Q228" s="137"/>
      <c r="R228" s="120"/>
      <c r="S228" s="120"/>
      <c r="T228" s="110"/>
    </row>
    <row r="229" spans="1:20" outlineLevel="1">
      <c r="A229" s="105"/>
      <c r="B229" s="106" t="s">
        <v>420</v>
      </c>
      <c r="C229" s="105"/>
      <c r="D229" s="107">
        <v>70149</v>
      </c>
      <c r="E229" s="107" t="s">
        <v>421</v>
      </c>
      <c r="F229" s="108"/>
      <c r="G229" s="109"/>
      <c r="H229" s="110"/>
      <c r="I229" s="111"/>
      <c r="J229" s="112">
        <v>8892.82</v>
      </c>
      <c r="K229" s="111"/>
      <c r="L229" s="112">
        <v>8710.07</v>
      </c>
      <c r="M229" s="111"/>
      <c r="N229" s="112">
        <v>7568</v>
      </c>
      <c r="O229" s="111"/>
      <c r="P229" s="112">
        <v>50856.37</v>
      </c>
      <c r="Q229" s="113">
        <f>IF(P$56=0,0,P229/P$56)</f>
        <v>3.4416132256493037E-2</v>
      </c>
      <c r="R229" s="114"/>
      <c r="S229" s="115"/>
      <c r="T229" s="105"/>
    </row>
    <row r="230" spans="1:20" s="65" customFormat="1" ht="5.0999999999999996" customHeight="1" outlineLevel="1">
      <c r="A230" s="140" t="s">
        <v>301</v>
      </c>
      <c r="B230" s="140" t="s">
        <v>301</v>
      </c>
      <c r="C230" s="110"/>
      <c r="D230" s="108"/>
      <c r="E230" s="108"/>
      <c r="F230" s="108"/>
      <c r="G230" s="108"/>
      <c r="H230" s="110"/>
      <c r="I230" s="110"/>
      <c r="J230" s="143"/>
      <c r="K230" s="142"/>
      <c r="L230" s="143"/>
      <c r="M230" s="142"/>
      <c r="N230" s="143"/>
      <c r="O230" s="142"/>
      <c r="P230" s="143"/>
      <c r="Q230" s="137"/>
      <c r="R230" s="120"/>
      <c r="S230" s="120"/>
      <c r="T230" s="110"/>
    </row>
    <row r="231" spans="1:20" s="65" customFormat="1">
      <c r="A231" s="140" t="s">
        <v>420</v>
      </c>
      <c r="B231" s="140" t="s">
        <v>301</v>
      </c>
      <c r="C231" s="110"/>
      <c r="D231" s="110"/>
      <c r="E231" s="110"/>
      <c r="F231" s="107" t="s">
        <v>422</v>
      </c>
      <c r="G231" s="110"/>
      <c r="H231" s="110"/>
      <c r="I231" s="110"/>
      <c r="J231" s="141">
        <f>SUM(J228:J230)</f>
        <v>8892.82</v>
      </c>
      <c r="K231" s="142"/>
      <c r="L231" s="141">
        <f>SUM(L228:L230)</f>
        <v>8710.07</v>
      </c>
      <c r="M231" s="142"/>
      <c r="N231" s="141">
        <f>SUM(N228:N230)</f>
        <v>7568</v>
      </c>
      <c r="O231" s="142"/>
      <c r="P231" s="141">
        <f>SUM(P228:P230)</f>
        <v>50856.37</v>
      </c>
      <c r="Q231" s="113">
        <f>IF(P$56=0,0,P231/P$56)</f>
        <v>3.4416132256493037E-2</v>
      </c>
      <c r="R231" s="120"/>
      <c r="S231" s="120"/>
      <c r="T231" s="110"/>
    </row>
    <row r="232" spans="1:20" s="65" customFormat="1" ht="7.5" customHeight="1">
      <c r="A232" s="140" t="s">
        <v>301</v>
      </c>
      <c r="B232" s="140"/>
      <c r="C232" s="110"/>
      <c r="D232" s="110"/>
      <c r="E232" s="110"/>
      <c r="F232" s="110"/>
      <c r="G232" s="110"/>
      <c r="H232" s="110"/>
      <c r="I232" s="110"/>
      <c r="J232" s="142"/>
      <c r="K232" s="142"/>
      <c r="L232" s="142"/>
      <c r="M232" s="142"/>
      <c r="N232" s="142"/>
      <c r="O232" s="142"/>
      <c r="P232" s="142"/>
      <c r="Q232" s="137"/>
      <c r="R232" s="120"/>
      <c r="S232" s="120"/>
      <c r="T232" s="110"/>
    </row>
    <row r="233" spans="1:20" s="65" customFormat="1">
      <c r="A233" s="140" t="s">
        <v>301</v>
      </c>
      <c r="B233" s="140"/>
      <c r="C233" s="110"/>
      <c r="D233" s="110"/>
      <c r="E233" s="145" t="s">
        <v>423</v>
      </c>
      <c r="F233" s="110"/>
      <c r="G233" s="110"/>
      <c r="H233" s="110"/>
      <c r="I233" s="110"/>
      <c r="J233" s="146">
        <f>+J185+J227+J231</f>
        <v>33133.820000000007</v>
      </c>
      <c r="K233" s="142"/>
      <c r="L233" s="146">
        <f>+L185+L227+L231</f>
        <v>32284.199999999997</v>
      </c>
      <c r="M233" s="142"/>
      <c r="N233" s="146">
        <f>+N185+N227+N231</f>
        <v>19154.939999999995</v>
      </c>
      <c r="O233" s="142"/>
      <c r="P233" s="146">
        <f>+P185+P227+P231</f>
        <v>180881.24</v>
      </c>
      <c r="Q233" s="113">
        <f>IF(P$56=0,0,P233/P$56)</f>
        <v>0.12240812072427618</v>
      </c>
      <c r="R233" s="120"/>
      <c r="S233" s="120"/>
      <c r="T233" s="110"/>
    </row>
    <row r="234" spans="1:20" s="65" customFormat="1" ht="7.5" customHeight="1">
      <c r="A234" s="140"/>
      <c r="B234" s="140"/>
      <c r="C234" s="110"/>
      <c r="D234" s="110"/>
      <c r="E234" s="110"/>
      <c r="F234" s="110"/>
      <c r="G234" s="110"/>
      <c r="H234" s="110"/>
      <c r="I234" s="110"/>
      <c r="J234" s="142"/>
      <c r="K234" s="142"/>
      <c r="L234" s="142"/>
      <c r="M234" s="142"/>
      <c r="N234" s="142"/>
      <c r="O234" s="142"/>
      <c r="P234" s="142"/>
      <c r="Q234" s="137"/>
      <c r="R234" s="120"/>
      <c r="S234" s="120"/>
      <c r="T234" s="110"/>
    </row>
    <row r="235" spans="1:20" s="65" customFormat="1" ht="7.5" customHeight="1">
      <c r="A235" s="140"/>
      <c r="B235" s="140" t="s">
        <v>301</v>
      </c>
      <c r="C235" s="110"/>
      <c r="D235" s="151"/>
      <c r="E235" s="151"/>
      <c r="F235" s="151"/>
      <c r="G235" s="151"/>
      <c r="H235" s="151"/>
      <c r="I235" s="151"/>
      <c r="J235" s="152"/>
      <c r="K235" s="142"/>
      <c r="L235" s="152"/>
      <c r="M235" s="142"/>
      <c r="N235" s="152"/>
      <c r="O235" s="142"/>
      <c r="P235" s="152"/>
      <c r="Q235" s="137"/>
      <c r="R235" s="120"/>
      <c r="S235" s="120"/>
      <c r="T235" s="110"/>
    </row>
    <row r="236" spans="1:20" s="65" customFormat="1">
      <c r="A236" s="140"/>
      <c r="B236" s="140" t="s">
        <v>301</v>
      </c>
      <c r="C236" s="110"/>
      <c r="D236" s="110"/>
      <c r="E236" s="154" t="s">
        <v>424</v>
      </c>
      <c r="F236" s="155"/>
      <c r="G236" s="155"/>
      <c r="H236" s="155"/>
      <c r="I236" s="155"/>
      <c r="J236" s="156">
        <f>+J180-J233</f>
        <v>33820.149999999951</v>
      </c>
      <c r="K236" s="157"/>
      <c r="L236" s="156">
        <f>+L180-L233</f>
        <v>29490.729999999996</v>
      </c>
      <c r="M236" s="158"/>
      <c r="N236" s="156">
        <f>+N180-N233</f>
        <v>114460.44999999998</v>
      </c>
      <c r="O236" s="158"/>
      <c r="P236" s="156">
        <f>+P180-P233</f>
        <v>215803.51000000024</v>
      </c>
      <c r="Q236" s="113">
        <f>IF(P$56=0,0,P236/P$56)</f>
        <v>0.14604113784714531</v>
      </c>
      <c r="R236" s="159"/>
      <c r="S236" s="110"/>
      <c r="T236" s="110"/>
    </row>
    <row r="237" spans="1:20" s="65" customFormat="1" ht="6.75" customHeight="1">
      <c r="A237" s="140" t="s">
        <v>301</v>
      </c>
      <c r="B237" s="140" t="s">
        <v>301</v>
      </c>
      <c r="C237" s="105"/>
      <c r="D237" s="160"/>
      <c r="E237" s="160"/>
      <c r="F237" s="160"/>
      <c r="G237" s="160"/>
      <c r="H237" s="160"/>
      <c r="I237" s="160"/>
      <c r="J237" s="161"/>
      <c r="K237" s="160"/>
      <c r="L237" s="161"/>
      <c r="M237" s="162"/>
      <c r="N237" s="161"/>
      <c r="O237" s="162"/>
      <c r="P237" s="161"/>
      <c r="Q237" s="163"/>
      <c r="R237" s="120"/>
      <c r="S237" s="120"/>
      <c r="T237" s="110"/>
    </row>
    <row r="238" spans="1:20" s="65" customFormat="1">
      <c r="A238" s="140" t="s">
        <v>301</v>
      </c>
      <c r="B238" s="140" t="s">
        <v>301</v>
      </c>
      <c r="C238" s="105"/>
      <c r="D238" s="110"/>
      <c r="E238" s="164" t="s">
        <v>425</v>
      </c>
      <c r="F238" s="165"/>
      <c r="G238" s="165"/>
      <c r="H238" s="165"/>
      <c r="I238" s="165"/>
      <c r="J238" s="166">
        <f>J236 +J172+SUMIF($D:$D,52141,J:J)+SUMIF($D:$D,52142,J:J)+SUMIF($D:$D,52143,J:J)+SUMIF($D:$D,55142,J:J)+SUMIF($D:$D,56142,J:J)+SUMIF($D:$D,70142,J:J)</f>
        <v>46043.479999999952</v>
      </c>
      <c r="K238" s="165"/>
      <c r="L238" s="166">
        <f>L236 +L172+SUMIF($D:$D,52141,L:L)+SUMIF($D:$D,52142,L:L)+SUMIF($D:$D,52143,L:L)+SUMIF($D:$D,55142,L:L)+SUMIF($D:$D,56142,L:L)+SUMIF($D:$D,70142,L:L)</f>
        <v>42625.59</v>
      </c>
      <c r="M238" s="167"/>
      <c r="N238" s="166">
        <f>N236 +N172+SUMIF($D:$D,52141,N:N)+SUMIF($D:$D,52142,N:N)+SUMIF($D:$D,52143,N:N)+SUMIF($D:$D,55142,N:N)+SUMIF($D:$D,56142,N:N)+SUMIF($D:$D,70142,N:N)</f>
        <v>152193.79999999999</v>
      </c>
      <c r="O238" s="167"/>
      <c r="P238" s="166">
        <f>P236 +P172+SUMIF($D:$D,52141,P:P)+SUMIF($D:$D,52142,P:P)+SUMIF($D:$D,52143,P:P)+SUMIF($D:$D,55142,P:P)+SUMIF($D:$D,56142,P:P)+SUMIF($D:$D,70142,P:P)</f>
        <v>315518.59000000026</v>
      </c>
      <c r="Q238" s="113">
        <f>IF(P$56=0,0,P238/P$56)</f>
        <v>0.21352152194154261</v>
      </c>
      <c r="R238" s="159"/>
      <c r="S238" s="110"/>
      <c r="T238" s="110"/>
    </row>
    <row r="239" spans="1:20" s="65" customFormat="1" ht="6.75" customHeight="1">
      <c r="A239" s="140" t="s">
        <v>301</v>
      </c>
      <c r="B239" s="140" t="s">
        <v>301</v>
      </c>
      <c r="C239" s="105"/>
      <c r="D239" s="110"/>
      <c r="E239" s="110"/>
      <c r="F239" s="110"/>
      <c r="G239" s="110"/>
      <c r="H239" s="110"/>
      <c r="I239" s="110"/>
      <c r="J239" s="142"/>
      <c r="K239" s="142"/>
      <c r="L239" s="142"/>
      <c r="M239" s="168"/>
      <c r="N239" s="142"/>
      <c r="O239" s="168"/>
      <c r="P239" s="142"/>
      <c r="Q239" s="163"/>
      <c r="R239" s="120"/>
      <c r="S239" s="110"/>
      <c r="T239" s="110"/>
    </row>
    <row r="240" spans="1:20" outlineLevel="1">
      <c r="A240" s="105"/>
      <c r="B240" s="106" t="s">
        <v>426</v>
      </c>
      <c r="C240" s="105"/>
      <c r="D240" s="107">
        <v>51260</v>
      </c>
      <c r="E240" s="107" t="s">
        <v>427</v>
      </c>
      <c r="F240" s="108"/>
      <c r="G240" s="109"/>
      <c r="H240" s="110"/>
      <c r="I240" s="111"/>
      <c r="J240" s="112">
        <v>13109.27</v>
      </c>
      <c r="K240" s="111"/>
      <c r="L240" s="112">
        <v>13109.35</v>
      </c>
      <c r="M240" s="111"/>
      <c r="N240" s="112">
        <v>0</v>
      </c>
      <c r="O240" s="111"/>
      <c r="P240" s="112">
        <v>63267.12</v>
      </c>
      <c r="Q240" s="113">
        <f t="shared" ref="Q240:Q243" si="13">IF(P$56=0,0,P240/P$56)</f>
        <v>4.2814883748238726E-2</v>
      </c>
      <c r="R240" s="114"/>
      <c r="S240" s="115"/>
      <c r="T240" s="105"/>
    </row>
    <row r="241" spans="1:20" outlineLevel="1">
      <c r="A241" s="105"/>
      <c r="B241" s="106" t="s">
        <v>308</v>
      </c>
      <c r="C241" s="105"/>
      <c r="D241" s="107">
        <v>54260</v>
      </c>
      <c r="E241" s="107" t="s">
        <v>427</v>
      </c>
      <c r="F241" s="108"/>
      <c r="G241" s="109"/>
      <c r="H241" s="110"/>
      <c r="I241" s="111"/>
      <c r="J241" s="112">
        <v>2858.81</v>
      </c>
      <c r="K241" s="111"/>
      <c r="L241" s="112">
        <v>2841.04</v>
      </c>
      <c r="M241" s="111"/>
      <c r="N241" s="112">
        <v>0</v>
      </c>
      <c r="O241" s="111"/>
      <c r="P241" s="112">
        <v>14276.84</v>
      </c>
      <c r="Q241" s="113">
        <f t="shared" si="13"/>
        <v>9.6615942829735985E-3</v>
      </c>
      <c r="R241" s="114"/>
      <c r="S241" s="115"/>
      <c r="T241" s="105"/>
    </row>
    <row r="242" spans="1:20" outlineLevel="1">
      <c r="A242" s="105"/>
      <c r="B242" s="106" t="s">
        <v>308</v>
      </c>
      <c r="C242" s="105"/>
      <c r="D242" s="107">
        <v>57260</v>
      </c>
      <c r="E242" s="107" t="s">
        <v>427</v>
      </c>
      <c r="F242" s="108"/>
      <c r="G242" s="109"/>
      <c r="H242" s="110"/>
      <c r="I242" s="111"/>
      <c r="J242" s="112">
        <v>2096.88</v>
      </c>
      <c r="K242" s="111"/>
      <c r="L242" s="112">
        <v>2096.87</v>
      </c>
      <c r="M242" s="111"/>
      <c r="N242" s="112">
        <v>0</v>
      </c>
      <c r="O242" s="111"/>
      <c r="P242" s="112">
        <v>10484.39</v>
      </c>
      <c r="Q242" s="113">
        <f t="shared" si="13"/>
        <v>7.0951220637385827E-3</v>
      </c>
      <c r="R242" s="114"/>
      <c r="S242" s="115"/>
      <c r="T242" s="105"/>
    </row>
    <row r="243" spans="1:20" outlineLevel="1">
      <c r="A243" s="105"/>
      <c r="B243" s="106" t="s">
        <v>308</v>
      </c>
      <c r="C243" s="105"/>
      <c r="D243" s="107">
        <v>70260</v>
      </c>
      <c r="E243" s="107" t="s">
        <v>427</v>
      </c>
      <c r="F243" s="108"/>
      <c r="G243" s="109"/>
      <c r="H243" s="110"/>
      <c r="I243" s="111"/>
      <c r="J243" s="112">
        <v>140.93</v>
      </c>
      <c r="K243" s="111"/>
      <c r="L243" s="112">
        <v>140.93</v>
      </c>
      <c r="M243" s="111"/>
      <c r="N243" s="112">
        <v>0</v>
      </c>
      <c r="O243" s="111"/>
      <c r="P243" s="112">
        <v>704.68</v>
      </c>
      <c r="Q243" s="113">
        <f t="shared" si="13"/>
        <v>4.7687949569553446E-4</v>
      </c>
      <c r="R243" s="114"/>
      <c r="S243" s="115"/>
      <c r="T243" s="105"/>
    </row>
    <row r="244" spans="1:20" s="65" customFormat="1" ht="5.0999999999999996" customHeight="1" outlineLevel="1">
      <c r="A244" s="140" t="s">
        <v>301</v>
      </c>
      <c r="B244" s="140" t="s">
        <v>301</v>
      </c>
      <c r="C244" s="105"/>
      <c r="D244" s="108"/>
      <c r="E244" s="108"/>
      <c r="F244" s="108"/>
      <c r="G244" s="108"/>
      <c r="H244" s="110"/>
      <c r="I244" s="110"/>
      <c r="J244" s="143"/>
      <c r="K244" s="142"/>
      <c r="L244" s="143"/>
      <c r="M244" s="142"/>
      <c r="N244" s="143"/>
      <c r="O244" s="168"/>
      <c r="P244" s="143"/>
      <c r="Q244" s="163"/>
      <c r="R244" s="120"/>
      <c r="S244" s="110"/>
      <c r="T244" s="110"/>
    </row>
    <row r="245" spans="1:20" s="65" customFormat="1">
      <c r="A245" s="140" t="s">
        <v>426</v>
      </c>
      <c r="B245" s="140" t="s">
        <v>301</v>
      </c>
      <c r="C245" s="105"/>
      <c r="D245" s="110"/>
      <c r="E245" s="110"/>
      <c r="F245" s="108" t="s">
        <v>427</v>
      </c>
      <c r="G245" s="110"/>
      <c r="H245" s="110"/>
      <c r="I245" s="110"/>
      <c r="J245" s="141">
        <f>SUM(J240:J244)</f>
        <v>18205.89</v>
      </c>
      <c r="K245" s="142"/>
      <c r="L245" s="141">
        <f>SUM(L240:L244)</f>
        <v>18188.189999999999</v>
      </c>
      <c r="M245" s="142"/>
      <c r="N245" s="141">
        <f>SUM(N240:N244)</f>
        <v>0</v>
      </c>
      <c r="O245" s="169">
        <f>IF(N$50=0,0,N245/N$50)</f>
        <v>0</v>
      </c>
      <c r="P245" s="141">
        <f>SUM(P240:P244)</f>
        <v>88733.03</v>
      </c>
      <c r="Q245" s="113">
        <f>IF(P$56=0,0,P245/P$56)</f>
        <v>6.0048479590646443E-2</v>
      </c>
      <c r="R245" s="120"/>
      <c r="S245" s="110"/>
      <c r="T245" s="110"/>
    </row>
    <row r="246" spans="1:20" s="65" customFormat="1" outlineLevel="1">
      <c r="A246" s="140" t="s">
        <v>301</v>
      </c>
      <c r="B246" s="140" t="s">
        <v>301</v>
      </c>
      <c r="C246" s="105"/>
      <c r="D246" s="110"/>
      <c r="E246" s="110"/>
      <c r="F246" s="108"/>
      <c r="G246" s="110"/>
      <c r="H246" s="110"/>
      <c r="I246" s="110"/>
      <c r="J246" s="142"/>
      <c r="K246" s="142"/>
      <c r="L246" s="142"/>
      <c r="M246" s="142"/>
      <c r="N246" s="142"/>
      <c r="O246" s="168"/>
      <c r="P246" s="142"/>
      <c r="Q246" s="163"/>
      <c r="R246" s="120"/>
      <c r="S246" s="110"/>
      <c r="T246" s="110"/>
    </row>
    <row r="247" spans="1:20" outlineLevel="1">
      <c r="A247" s="105"/>
      <c r="B247" s="106" t="s">
        <v>428</v>
      </c>
      <c r="C247" s="105"/>
      <c r="D247" s="107"/>
      <c r="E247" s="107"/>
      <c r="F247" s="108"/>
      <c r="G247" s="109"/>
      <c r="H247" s="110"/>
      <c r="I247" s="111"/>
      <c r="J247" s="112"/>
      <c r="K247" s="111"/>
      <c r="L247" s="112"/>
      <c r="M247" s="111"/>
      <c r="N247" s="112"/>
      <c r="O247" s="111"/>
      <c r="P247" s="112"/>
      <c r="Q247" s="113"/>
      <c r="R247" s="114"/>
      <c r="S247" s="115"/>
      <c r="T247" s="105"/>
    </row>
    <row r="248" spans="1:20" s="65" customFormat="1" ht="5.0999999999999996" customHeight="1" outlineLevel="1">
      <c r="A248" s="140" t="s">
        <v>301</v>
      </c>
      <c r="B248" s="140" t="s">
        <v>301</v>
      </c>
      <c r="C248" s="105"/>
      <c r="D248" s="108"/>
      <c r="E248" s="108"/>
      <c r="F248" s="108"/>
      <c r="G248" s="108"/>
      <c r="H248" s="110"/>
      <c r="I248" s="110"/>
      <c r="J248" s="143"/>
      <c r="K248" s="142"/>
      <c r="L248" s="143"/>
      <c r="M248" s="142"/>
      <c r="N248" s="143"/>
      <c r="O248" s="168"/>
      <c r="P248" s="143"/>
      <c r="Q248" s="163"/>
      <c r="R248" s="120"/>
      <c r="S248" s="110"/>
      <c r="T248" s="110"/>
    </row>
    <row r="249" spans="1:20" s="65" customFormat="1">
      <c r="A249" s="140" t="s">
        <v>428</v>
      </c>
      <c r="B249" s="140" t="s">
        <v>301</v>
      </c>
      <c r="C249" s="105"/>
      <c r="D249" s="110"/>
      <c r="E249" s="110"/>
      <c r="F249" s="107" t="s">
        <v>429</v>
      </c>
      <c r="G249" s="110"/>
      <c r="H249" s="110"/>
      <c r="I249" s="110"/>
      <c r="J249" s="141">
        <f>SUM(J247:J248)</f>
        <v>0</v>
      </c>
      <c r="K249" s="142"/>
      <c r="L249" s="141">
        <f>SUM(L247:L248)</f>
        <v>0</v>
      </c>
      <c r="M249" s="142"/>
      <c r="N249" s="141">
        <f>SUM(N247:N248)</f>
        <v>0</v>
      </c>
      <c r="O249" s="169">
        <f>IF(N$50=0,0,N249/N$50)</f>
        <v>0</v>
      </c>
      <c r="P249" s="141">
        <f>SUM(P247:P248)</f>
        <v>0</v>
      </c>
      <c r="Q249" s="113">
        <f>IF(P$56=0,0,P249/P$56)</f>
        <v>0</v>
      </c>
      <c r="R249" s="120"/>
      <c r="S249" s="110"/>
      <c r="T249" s="110"/>
    </row>
    <row r="250" spans="1:20" s="65" customFormat="1" outlineLevel="1">
      <c r="A250" s="140" t="s">
        <v>301</v>
      </c>
      <c r="B250" s="140" t="s">
        <v>301</v>
      </c>
      <c r="C250" s="105"/>
      <c r="D250" s="110"/>
      <c r="E250" s="110"/>
      <c r="F250" s="110"/>
      <c r="G250" s="110"/>
      <c r="H250" s="110"/>
      <c r="I250" s="110"/>
      <c r="J250" s="142"/>
      <c r="K250" s="142"/>
      <c r="L250" s="142"/>
      <c r="M250" s="142"/>
      <c r="N250" s="142"/>
      <c r="O250" s="142"/>
      <c r="P250" s="142"/>
      <c r="Q250" s="163"/>
      <c r="R250" s="120"/>
      <c r="S250" s="110"/>
      <c r="T250" s="110"/>
    </row>
    <row r="251" spans="1:20" outlineLevel="1">
      <c r="A251" s="105"/>
      <c r="B251" s="106" t="s">
        <v>430</v>
      </c>
      <c r="C251" s="105"/>
      <c r="D251" s="107">
        <v>70269</v>
      </c>
      <c r="E251" s="107" t="s">
        <v>431</v>
      </c>
      <c r="F251" s="108"/>
      <c r="G251" s="109"/>
      <c r="H251" s="110"/>
      <c r="I251" s="111"/>
      <c r="J251" s="112">
        <v>651.71</v>
      </c>
      <c r="K251" s="111"/>
      <c r="L251" s="112">
        <v>651.70000000000005</v>
      </c>
      <c r="M251" s="111"/>
      <c r="N251" s="112">
        <v>0</v>
      </c>
      <c r="O251" s="111"/>
      <c r="P251" s="112">
        <v>3258.54</v>
      </c>
      <c r="Q251" s="113">
        <f>IF(P$56=0,0,P251/P$56)</f>
        <v>2.2051582447404879E-3</v>
      </c>
      <c r="R251" s="114"/>
      <c r="S251" s="115"/>
      <c r="T251" s="105"/>
    </row>
    <row r="252" spans="1:20" s="65" customFormat="1" ht="5.0999999999999996" customHeight="1" outlineLevel="1">
      <c r="A252" s="140" t="s">
        <v>301</v>
      </c>
      <c r="B252" s="138" t="s">
        <v>301</v>
      </c>
      <c r="C252" s="170"/>
      <c r="D252" s="108"/>
      <c r="E252" s="108"/>
      <c r="F252" s="108"/>
      <c r="G252" s="108"/>
      <c r="H252" s="110"/>
      <c r="I252" s="110"/>
      <c r="J252" s="143"/>
      <c r="K252" s="142"/>
      <c r="L252" s="143"/>
      <c r="M252" s="142"/>
      <c r="N252" s="143"/>
      <c r="O252" s="142"/>
      <c r="P252" s="143"/>
      <c r="Q252" s="163"/>
      <c r="R252" s="120"/>
      <c r="S252" s="110"/>
      <c r="T252" s="110"/>
    </row>
    <row r="253" spans="1:20" s="65" customFormat="1">
      <c r="A253" s="140" t="s">
        <v>430</v>
      </c>
      <c r="B253" s="138" t="s">
        <v>301</v>
      </c>
      <c r="C253" s="170"/>
      <c r="D253" s="110"/>
      <c r="E253" s="110"/>
      <c r="F253" s="108" t="s">
        <v>432</v>
      </c>
      <c r="G253" s="110"/>
      <c r="H253" s="110"/>
      <c r="I253" s="110"/>
      <c r="J253" s="141">
        <f>SUM(J251:J252)</f>
        <v>651.71</v>
      </c>
      <c r="K253" s="142"/>
      <c r="L253" s="141">
        <f>SUM(L251:L252)</f>
        <v>651.70000000000005</v>
      </c>
      <c r="M253" s="142"/>
      <c r="N253" s="141">
        <f>SUM(N251:N252)</f>
        <v>0</v>
      </c>
      <c r="O253" s="169">
        <f>IF(N$50=0,0,N253/N$50)</f>
        <v>0</v>
      </c>
      <c r="P253" s="141">
        <f>SUM(P251:P252)</f>
        <v>3258.54</v>
      </c>
      <c r="Q253" s="113">
        <f>IF(P$56=0,0,P253/P$56)</f>
        <v>2.2051582447404879E-3</v>
      </c>
      <c r="R253" s="120"/>
      <c r="S253" s="110"/>
      <c r="T253" s="110"/>
    </row>
    <row r="254" spans="1:20" s="65" customFormat="1" ht="6.75" customHeight="1">
      <c r="A254" s="138" t="s">
        <v>301</v>
      </c>
      <c r="B254" s="138" t="s">
        <v>301</v>
      </c>
      <c r="C254" s="170"/>
      <c r="D254" s="110"/>
      <c r="E254" s="110"/>
      <c r="F254" s="110"/>
      <c r="G254" s="110"/>
      <c r="H254" s="110"/>
      <c r="I254" s="110"/>
      <c r="J254" s="142"/>
      <c r="K254" s="142"/>
      <c r="L254" s="142"/>
      <c r="M254" s="142"/>
      <c r="N254" s="142"/>
      <c r="O254" s="142"/>
      <c r="P254" s="142"/>
      <c r="Q254" s="163"/>
      <c r="R254" s="120"/>
      <c r="S254" s="110"/>
      <c r="T254" s="110"/>
    </row>
    <row r="255" spans="1:20" s="65" customFormat="1">
      <c r="A255" s="138" t="s">
        <v>301</v>
      </c>
      <c r="B255" s="138" t="s">
        <v>301</v>
      </c>
      <c r="C255" s="170"/>
      <c r="D255" s="110"/>
      <c r="E255" s="145" t="s">
        <v>433</v>
      </c>
      <c r="F255" s="110"/>
      <c r="G255" s="110"/>
      <c r="H255" s="110"/>
      <c r="I255" s="110"/>
      <c r="J255" s="146">
        <f>+J245+J249+J253</f>
        <v>18857.599999999999</v>
      </c>
      <c r="K255" s="142"/>
      <c r="L255" s="146">
        <f>+L245+L249+L253</f>
        <v>18839.89</v>
      </c>
      <c r="M255" s="142"/>
      <c r="N255" s="146">
        <f>+N245+N249+N253</f>
        <v>0</v>
      </c>
      <c r="O255" s="169">
        <f>IF(N$50=0,0,N255/N$50)</f>
        <v>0</v>
      </c>
      <c r="P255" s="146">
        <f>+P245+P249+P253</f>
        <v>91991.569999999992</v>
      </c>
      <c r="Q255" s="113">
        <f>IF(P$56=0,0,P255/P$56)</f>
        <v>6.2253637835386927E-2</v>
      </c>
      <c r="R255" s="120"/>
      <c r="S255" s="110"/>
      <c r="T255" s="110"/>
    </row>
    <row r="256" spans="1:20" s="65" customFormat="1" ht="6.75" customHeight="1">
      <c r="A256" s="138" t="s">
        <v>301</v>
      </c>
      <c r="B256" s="138" t="s">
        <v>301</v>
      </c>
      <c r="C256" s="170"/>
      <c r="D256" s="110"/>
      <c r="E256" s="110"/>
      <c r="F256" s="110"/>
      <c r="G256" s="110"/>
      <c r="H256" s="110"/>
      <c r="I256" s="110"/>
      <c r="J256" s="142"/>
      <c r="K256" s="142"/>
      <c r="L256" s="142"/>
      <c r="M256" s="142"/>
      <c r="N256" s="142"/>
      <c r="O256" s="142"/>
      <c r="P256" s="142"/>
      <c r="Q256" s="163"/>
      <c r="R256" s="120"/>
      <c r="S256" s="110"/>
      <c r="T256" s="110"/>
    </row>
    <row r="257" spans="1:20" s="65" customFormat="1">
      <c r="A257" s="138" t="s">
        <v>301</v>
      </c>
      <c r="B257" s="138" t="s">
        <v>301</v>
      </c>
      <c r="C257" s="170"/>
      <c r="D257" s="110"/>
      <c r="E257" s="150" t="s">
        <v>434</v>
      </c>
      <c r="F257" s="110"/>
      <c r="G257" s="110"/>
      <c r="H257" s="110"/>
      <c r="I257" s="110"/>
      <c r="J257" s="146">
        <f>+J236-J255</f>
        <v>14962.549999999952</v>
      </c>
      <c r="K257" s="142"/>
      <c r="L257" s="146">
        <f>+L236-L255</f>
        <v>10650.839999999997</v>
      </c>
      <c r="M257" s="142"/>
      <c r="N257" s="146">
        <f>+N236-N255</f>
        <v>114460.44999999998</v>
      </c>
      <c r="O257" s="169">
        <f>IF(N$50=0,0,N257/N$50)</f>
        <v>0</v>
      </c>
      <c r="P257" s="146">
        <f>+P236-P255</f>
        <v>123811.94000000025</v>
      </c>
      <c r="Q257" s="113">
        <f>IF(P$56=0,0,P257/P$56)</f>
        <v>8.3787500011758387E-2</v>
      </c>
      <c r="R257" s="120"/>
      <c r="S257" s="110"/>
      <c r="T257" s="110"/>
    </row>
    <row r="258" spans="1:20" s="65" customFormat="1" ht="6.75" customHeight="1">
      <c r="A258" s="138" t="s">
        <v>301</v>
      </c>
      <c r="B258" s="138" t="s">
        <v>301</v>
      </c>
      <c r="C258" s="170"/>
      <c r="D258" s="110"/>
      <c r="E258" s="110"/>
      <c r="F258" s="110"/>
      <c r="G258" s="110"/>
      <c r="H258" s="110"/>
      <c r="I258" s="110"/>
      <c r="J258" s="142"/>
      <c r="K258" s="142"/>
      <c r="L258" s="142"/>
      <c r="M258" s="142"/>
      <c r="N258" s="142"/>
      <c r="O258" s="142"/>
      <c r="P258" s="142"/>
      <c r="Q258" s="163"/>
      <c r="R258" s="120"/>
      <c r="S258" s="110"/>
      <c r="T258" s="110"/>
    </row>
    <row r="259" spans="1:20" outlineLevel="1">
      <c r="A259" s="105"/>
      <c r="B259" s="106" t="s">
        <v>435</v>
      </c>
      <c r="C259" s="105"/>
      <c r="D259" s="107"/>
      <c r="E259" s="107"/>
      <c r="F259" s="108"/>
      <c r="G259" s="109"/>
      <c r="H259" s="110"/>
      <c r="I259" s="111"/>
      <c r="J259" s="112"/>
      <c r="K259" s="111"/>
      <c r="L259" s="112"/>
      <c r="M259" s="111"/>
      <c r="N259" s="112"/>
      <c r="O259" s="111"/>
      <c r="P259" s="112"/>
      <c r="Q259" s="113"/>
      <c r="R259" s="114"/>
      <c r="S259" s="115"/>
      <c r="T259" s="105"/>
    </row>
    <row r="260" spans="1:20" s="65" customFormat="1" ht="5.0999999999999996" customHeight="1" outlineLevel="1">
      <c r="A260" s="138" t="s">
        <v>301</v>
      </c>
      <c r="B260" s="138" t="s">
        <v>301</v>
      </c>
      <c r="C260" s="170"/>
      <c r="D260" s="108"/>
      <c r="E260" s="108"/>
      <c r="F260" s="108"/>
      <c r="G260" s="108"/>
      <c r="H260" s="110"/>
      <c r="I260" s="110"/>
      <c r="J260" s="143"/>
      <c r="K260" s="142"/>
      <c r="L260" s="143"/>
      <c r="M260" s="142"/>
      <c r="N260" s="143"/>
      <c r="O260" s="142"/>
      <c r="P260" s="143"/>
      <c r="Q260" s="163"/>
      <c r="R260" s="120"/>
      <c r="S260" s="110"/>
      <c r="T260" s="110"/>
    </row>
    <row r="261" spans="1:20" s="65" customFormat="1">
      <c r="A261" s="140" t="s">
        <v>435</v>
      </c>
      <c r="B261" s="138" t="s">
        <v>301</v>
      </c>
      <c r="C261" s="170"/>
      <c r="D261" s="110"/>
      <c r="E261" s="110"/>
      <c r="F261" s="108" t="s">
        <v>436</v>
      </c>
      <c r="G261" s="110"/>
      <c r="H261" s="110"/>
      <c r="I261" s="110"/>
      <c r="J261" s="141">
        <f>SUM(J259:J260)</f>
        <v>0</v>
      </c>
      <c r="K261" s="142"/>
      <c r="L261" s="141">
        <f>SUM(L259:L260)</f>
        <v>0</v>
      </c>
      <c r="M261" s="142"/>
      <c r="N261" s="141">
        <f>SUM(N259:N260)</f>
        <v>0</v>
      </c>
      <c r="O261" s="169">
        <f>IF(N$50=0,0,N261/N$50)</f>
        <v>0</v>
      </c>
      <c r="P261" s="141">
        <f>SUM(P259:P260)</f>
        <v>0</v>
      </c>
      <c r="Q261" s="113">
        <f>IF(P$56=0,0,P261/P$56)</f>
        <v>0</v>
      </c>
      <c r="R261" s="120"/>
      <c r="S261" s="110"/>
      <c r="T261" s="110"/>
    </row>
    <row r="262" spans="1:20" s="65" customFormat="1" outlineLevel="1">
      <c r="A262" s="138" t="s">
        <v>301</v>
      </c>
      <c r="B262" s="138" t="s">
        <v>301</v>
      </c>
      <c r="C262" s="170"/>
      <c r="D262" s="110"/>
      <c r="E262" s="110"/>
      <c r="F262" s="110"/>
      <c r="G262" s="110"/>
      <c r="H262" s="110"/>
      <c r="I262" s="110"/>
      <c r="J262" s="142"/>
      <c r="K262" s="142"/>
      <c r="L262" s="142"/>
      <c r="M262" s="142"/>
      <c r="N262" s="142"/>
      <c r="O262" s="142"/>
      <c r="P262" s="142"/>
      <c r="Q262" s="163"/>
      <c r="R262" s="120"/>
      <c r="S262" s="110"/>
      <c r="T262" s="110"/>
    </row>
    <row r="263" spans="1:20" outlineLevel="1">
      <c r="A263" s="105"/>
      <c r="B263" s="106" t="s">
        <v>437</v>
      </c>
      <c r="C263" s="105"/>
      <c r="D263" s="107"/>
      <c r="E263" s="107"/>
      <c r="F263" s="108"/>
      <c r="G263" s="109"/>
      <c r="H263" s="110"/>
      <c r="I263" s="111"/>
      <c r="J263" s="112"/>
      <c r="K263" s="111"/>
      <c r="L263" s="112"/>
      <c r="M263" s="111"/>
      <c r="N263" s="112"/>
      <c r="O263" s="111"/>
      <c r="P263" s="112"/>
      <c r="Q263" s="113"/>
      <c r="R263" s="114"/>
      <c r="S263" s="115"/>
      <c r="T263" s="105"/>
    </row>
    <row r="264" spans="1:20" s="65" customFormat="1" ht="5.0999999999999996" customHeight="1" outlineLevel="1">
      <c r="A264" s="138" t="s">
        <v>301</v>
      </c>
      <c r="B264" s="138" t="s">
        <v>301</v>
      </c>
      <c r="C264" s="170"/>
      <c r="D264" s="108"/>
      <c r="E264" s="108"/>
      <c r="F264" s="108"/>
      <c r="G264" s="108"/>
      <c r="H264" s="110"/>
      <c r="I264" s="110"/>
      <c r="J264" s="143"/>
      <c r="K264" s="142"/>
      <c r="L264" s="143"/>
      <c r="M264" s="142"/>
      <c r="N264" s="143"/>
      <c r="O264" s="142"/>
      <c r="P264" s="143"/>
      <c r="Q264" s="163"/>
      <c r="R264" s="120"/>
      <c r="S264" s="110"/>
      <c r="T264" s="110"/>
    </row>
    <row r="265" spans="1:20" s="65" customFormat="1">
      <c r="A265" s="140" t="s">
        <v>437</v>
      </c>
      <c r="B265" s="138" t="s">
        <v>301</v>
      </c>
      <c r="C265" s="170"/>
      <c r="D265" s="110"/>
      <c r="E265" s="110"/>
      <c r="F265" s="107" t="s">
        <v>438</v>
      </c>
      <c r="G265" s="110"/>
      <c r="H265" s="110"/>
      <c r="I265" s="110"/>
      <c r="J265" s="141">
        <f>SUM(J263:J264)</f>
        <v>0</v>
      </c>
      <c r="K265" s="142"/>
      <c r="L265" s="141">
        <f>SUM(L263:L264)</f>
        <v>0</v>
      </c>
      <c r="M265" s="142"/>
      <c r="N265" s="141">
        <f>SUM(N263:N264)</f>
        <v>0</v>
      </c>
      <c r="O265" s="169">
        <f>IF(N$50=0,0,N265/N$50)</f>
        <v>0</v>
      </c>
      <c r="P265" s="141">
        <f>SUM(P263:P264)</f>
        <v>0</v>
      </c>
      <c r="Q265" s="113">
        <f>IF(P$56=0,0,P265/P$56)</f>
        <v>0</v>
      </c>
      <c r="R265" s="120"/>
      <c r="S265" s="110"/>
      <c r="T265" s="110"/>
    </row>
    <row r="266" spans="1:20" s="65" customFormat="1" outlineLevel="1">
      <c r="A266" s="138" t="s">
        <v>301</v>
      </c>
      <c r="B266" s="138" t="s">
        <v>301</v>
      </c>
      <c r="C266" s="170"/>
      <c r="D266" s="110"/>
      <c r="E266" s="110"/>
      <c r="F266" s="110"/>
      <c r="G266" s="110"/>
      <c r="H266" s="110"/>
      <c r="I266" s="110"/>
      <c r="J266" s="142"/>
      <c r="K266" s="142"/>
      <c r="L266" s="142"/>
      <c r="M266" s="142"/>
      <c r="N266" s="142"/>
      <c r="O266" s="142"/>
      <c r="P266" s="142"/>
      <c r="Q266" s="163"/>
      <c r="R266" s="120"/>
      <c r="S266" s="110"/>
      <c r="T266" s="110"/>
    </row>
    <row r="267" spans="1:20" outlineLevel="1">
      <c r="A267" s="105"/>
      <c r="B267" s="106" t="s">
        <v>439</v>
      </c>
      <c r="C267" s="105"/>
      <c r="D267" s="107"/>
      <c r="E267" s="107"/>
      <c r="F267" s="108"/>
      <c r="G267" s="109"/>
      <c r="H267" s="110"/>
      <c r="I267" s="111"/>
      <c r="J267" s="112"/>
      <c r="K267" s="111"/>
      <c r="L267" s="112"/>
      <c r="M267" s="111"/>
      <c r="N267" s="112"/>
      <c r="O267" s="111"/>
      <c r="P267" s="112"/>
      <c r="Q267" s="113"/>
      <c r="R267" s="114"/>
      <c r="S267" s="115"/>
      <c r="T267" s="105"/>
    </row>
    <row r="268" spans="1:20" s="65" customFormat="1" ht="5.0999999999999996" customHeight="1" outlineLevel="1">
      <c r="A268" s="138" t="s">
        <v>301</v>
      </c>
      <c r="B268" s="138" t="s">
        <v>301</v>
      </c>
      <c r="C268" s="170"/>
      <c r="D268" s="108"/>
      <c r="E268" s="108"/>
      <c r="F268" s="108"/>
      <c r="G268" s="108"/>
      <c r="H268" s="110"/>
      <c r="I268" s="110"/>
      <c r="J268" s="143"/>
      <c r="K268" s="142"/>
      <c r="L268" s="143"/>
      <c r="M268" s="142"/>
      <c r="N268" s="143"/>
      <c r="O268" s="142"/>
      <c r="P268" s="143"/>
      <c r="Q268" s="163"/>
      <c r="R268" s="120"/>
      <c r="S268" s="110"/>
      <c r="T268" s="110"/>
    </row>
    <row r="269" spans="1:20" s="65" customFormat="1">
      <c r="A269" s="140" t="s">
        <v>439</v>
      </c>
      <c r="B269" s="138" t="s">
        <v>301</v>
      </c>
      <c r="C269" s="170"/>
      <c r="D269" s="110"/>
      <c r="E269" s="110"/>
      <c r="F269" s="108" t="s">
        <v>440</v>
      </c>
      <c r="G269" s="110"/>
      <c r="H269" s="110"/>
      <c r="I269" s="110"/>
      <c r="J269" s="141">
        <f>SUM(J267:J268)</f>
        <v>0</v>
      </c>
      <c r="K269" s="142"/>
      <c r="L269" s="141">
        <f>SUM(L267:L268)</f>
        <v>0</v>
      </c>
      <c r="M269" s="142"/>
      <c r="N269" s="141">
        <f>SUM(N267:N268)</f>
        <v>0</v>
      </c>
      <c r="O269" s="169">
        <f>IF(N$50=0,0,N269/N$50)</f>
        <v>0</v>
      </c>
      <c r="P269" s="141">
        <f>SUM(P267:P268)</f>
        <v>0</v>
      </c>
      <c r="Q269" s="113">
        <f>IF(P$56=0,0,P269/P$56)</f>
        <v>0</v>
      </c>
      <c r="R269" s="120"/>
      <c r="S269" s="110"/>
      <c r="T269" s="110"/>
    </row>
    <row r="270" spans="1:20" s="65" customFormat="1" ht="6.75" customHeight="1">
      <c r="A270" s="138" t="s">
        <v>301</v>
      </c>
      <c r="B270" s="140" t="s">
        <v>301</v>
      </c>
      <c r="C270" s="105"/>
      <c r="D270" s="110"/>
      <c r="E270" s="110"/>
      <c r="F270" s="110"/>
      <c r="G270" s="110"/>
      <c r="H270" s="110"/>
      <c r="I270" s="110"/>
      <c r="J270" s="142"/>
      <c r="K270" s="142"/>
      <c r="L270" s="142"/>
      <c r="M270" s="142"/>
      <c r="N270" s="142"/>
      <c r="O270" s="142"/>
      <c r="P270" s="142"/>
      <c r="Q270" s="163"/>
      <c r="R270" s="120"/>
      <c r="S270" s="110"/>
      <c r="T270" s="110"/>
    </row>
    <row r="271" spans="1:20" s="65" customFormat="1">
      <c r="A271" s="138" t="s">
        <v>301</v>
      </c>
      <c r="B271" s="140" t="s">
        <v>301</v>
      </c>
      <c r="C271" s="105"/>
      <c r="D271" s="110"/>
      <c r="E271" s="145" t="s">
        <v>441</v>
      </c>
      <c r="F271" s="110"/>
      <c r="G271" s="110"/>
      <c r="H271" s="110"/>
      <c r="I271" s="110"/>
      <c r="J271" s="146">
        <f>+J257-J261-J265-J269</f>
        <v>14962.549999999952</v>
      </c>
      <c r="K271" s="142"/>
      <c r="L271" s="146">
        <f>+L257-L261-L265-L269</f>
        <v>10650.839999999997</v>
      </c>
      <c r="M271" s="142"/>
      <c r="N271" s="146">
        <f>+N257-N261-N265-N269</f>
        <v>114460.44999999998</v>
      </c>
      <c r="O271" s="169">
        <f>IF(N$50=0,0,N271/N$50)</f>
        <v>0</v>
      </c>
      <c r="P271" s="146">
        <f>+P257-P261-P265-P269</f>
        <v>123811.94000000025</v>
      </c>
      <c r="Q271" s="113">
        <f>IF(P$56=0,0,P271/P$56)</f>
        <v>8.3787500011758387E-2</v>
      </c>
      <c r="R271" s="120"/>
      <c r="S271" s="110"/>
      <c r="T271" s="110"/>
    </row>
    <row r="272" spans="1:20" s="65" customFormat="1" ht="6.75" customHeight="1">
      <c r="A272" s="140" t="s">
        <v>301</v>
      </c>
      <c r="B272" s="140" t="s">
        <v>301</v>
      </c>
      <c r="C272" s="105"/>
      <c r="D272" s="110"/>
      <c r="E272" s="110"/>
      <c r="F272" s="110"/>
      <c r="G272" s="110"/>
      <c r="H272" s="110"/>
      <c r="I272" s="110"/>
      <c r="J272" s="142"/>
      <c r="K272" s="142"/>
      <c r="L272" s="142"/>
      <c r="M272" s="142"/>
      <c r="N272" s="142"/>
      <c r="O272" s="142"/>
      <c r="P272" s="142"/>
      <c r="Q272" s="163"/>
      <c r="R272" s="120"/>
      <c r="S272" s="110"/>
      <c r="T272" s="110"/>
    </row>
    <row r="273" spans="1:20" s="66" customFormat="1" outlineLevel="1">
      <c r="A273" s="140"/>
      <c r="B273" s="171" t="s">
        <v>442</v>
      </c>
      <c r="C273" s="151"/>
      <c r="D273" s="151"/>
      <c r="E273" s="151"/>
      <c r="F273" s="151"/>
      <c r="G273" s="151"/>
      <c r="H273" s="151"/>
      <c r="I273" s="151"/>
      <c r="J273" s="151"/>
      <c r="K273" s="151"/>
      <c r="L273" s="151"/>
      <c r="M273" s="151"/>
      <c r="N273" s="151"/>
      <c r="O273" s="151"/>
      <c r="P273" s="151"/>
      <c r="Q273" s="153"/>
      <c r="R273" s="151"/>
      <c r="S273" s="151"/>
      <c r="T273" s="151"/>
    </row>
    <row r="274" spans="1:20" s="65" customFormat="1" ht="5.0999999999999996" customHeight="1" outlineLevel="1">
      <c r="A274" s="140" t="s">
        <v>301</v>
      </c>
      <c r="B274" s="138" t="s">
        <v>301</v>
      </c>
      <c r="C274" s="170"/>
      <c r="D274" s="108"/>
      <c r="E274" s="108"/>
      <c r="F274" s="108"/>
      <c r="G274" s="108"/>
      <c r="H274" s="110"/>
      <c r="I274" s="110"/>
      <c r="J274" s="143"/>
      <c r="K274" s="142"/>
      <c r="L274" s="143"/>
      <c r="M274" s="142"/>
      <c r="N274" s="143"/>
      <c r="O274" s="142"/>
      <c r="P274" s="143"/>
      <c r="Q274" s="163"/>
      <c r="R274" s="120"/>
      <c r="S274" s="110"/>
      <c r="T274" s="110"/>
    </row>
    <row r="275" spans="1:20" s="65" customFormat="1">
      <c r="A275" s="172" t="s">
        <v>442</v>
      </c>
      <c r="B275" s="138" t="s">
        <v>301</v>
      </c>
      <c r="C275" s="170"/>
      <c r="D275" s="110"/>
      <c r="E275" s="110"/>
      <c r="F275" s="107" t="s">
        <v>443</v>
      </c>
      <c r="G275" s="110"/>
      <c r="H275" s="110"/>
      <c r="I275" s="110"/>
      <c r="J275" s="141">
        <f>SUM(J273:J274)</f>
        <v>0</v>
      </c>
      <c r="K275" s="142"/>
      <c r="L275" s="141">
        <f>SUM(L273:L274)</f>
        <v>0</v>
      </c>
      <c r="M275" s="142"/>
      <c r="N275" s="141">
        <f>SUM(N273:N274)</f>
        <v>0</v>
      </c>
      <c r="O275" s="169">
        <f>IF(N$50=0,0,N275/N$50)</f>
        <v>0</v>
      </c>
      <c r="P275" s="141">
        <f>SUM(P273:P274)</f>
        <v>0</v>
      </c>
      <c r="Q275" s="113">
        <f>IF(P$56=0,0,P275/P$56)</f>
        <v>0</v>
      </c>
      <c r="R275" s="120"/>
      <c r="S275" s="110"/>
      <c r="T275" s="110"/>
    </row>
    <row r="276" spans="1:20" s="65" customFormat="1" ht="6.75" customHeight="1">
      <c r="A276" s="138" t="s">
        <v>301</v>
      </c>
      <c r="B276" s="140" t="s">
        <v>301</v>
      </c>
      <c r="C276" s="105"/>
      <c r="D276" s="110"/>
      <c r="E276" s="110"/>
      <c r="F276" s="110"/>
      <c r="G276" s="110"/>
      <c r="H276" s="110"/>
      <c r="I276" s="110"/>
      <c r="J276" s="142"/>
      <c r="K276" s="142"/>
      <c r="L276" s="142"/>
      <c r="M276" s="142"/>
      <c r="N276" s="142"/>
      <c r="O276" s="142"/>
      <c r="P276" s="142"/>
      <c r="Q276" s="163"/>
      <c r="R276" s="120"/>
      <c r="S276" s="110"/>
      <c r="T276" s="110"/>
    </row>
    <row r="277" spans="1:20" s="65" customFormat="1">
      <c r="A277" s="138" t="s">
        <v>301</v>
      </c>
      <c r="B277" s="138" t="s">
        <v>301</v>
      </c>
      <c r="C277" s="170"/>
      <c r="D277" s="110"/>
      <c r="E277" s="145" t="s">
        <v>444</v>
      </c>
      <c r="F277" s="110"/>
      <c r="G277" s="110"/>
      <c r="H277" s="110"/>
      <c r="I277" s="110"/>
      <c r="J277" s="146">
        <f>+J271-J275</f>
        <v>14962.549999999952</v>
      </c>
      <c r="K277" s="142"/>
      <c r="L277" s="146">
        <f>+L271-L275</f>
        <v>10650.839999999997</v>
      </c>
      <c r="M277" s="142"/>
      <c r="N277" s="146">
        <f>+N271-N275</f>
        <v>114460.44999999998</v>
      </c>
      <c r="O277" s="169">
        <f>IF(N$50=0,0,N277/N$50)</f>
        <v>0</v>
      </c>
      <c r="P277" s="146">
        <f>+P271-P275</f>
        <v>123811.94000000025</v>
      </c>
      <c r="Q277" s="113">
        <f>IF(P$56=0,0,P277/P$56)</f>
        <v>8.3787500011758387E-2</v>
      </c>
      <c r="R277" s="120"/>
      <c r="S277" s="110"/>
      <c r="T277" s="110"/>
    </row>
    <row r="278" spans="1:20" ht="6.75" customHeight="1">
      <c r="A278" s="140" t="s">
        <v>301</v>
      </c>
      <c r="B278" s="140" t="s">
        <v>301</v>
      </c>
      <c r="C278" s="105"/>
      <c r="D278" s="105"/>
      <c r="E278" s="105"/>
      <c r="F278" s="105"/>
      <c r="G278" s="105"/>
      <c r="H278" s="105"/>
      <c r="I278" s="105"/>
      <c r="J278" s="173"/>
      <c r="K278" s="173"/>
      <c r="L278" s="173"/>
      <c r="M278" s="173"/>
      <c r="N278" s="173"/>
      <c r="O278" s="142"/>
      <c r="P278" s="173"/>
      <c r="Q278" s="163"/>
      <c r="R278" s="120"/>
      <c r="S278" s="105"/>
      <c r="T278" s="105"/>
    </row>
    <row r="279" spans="1:20" outlineLevel="1">
      <c r="A279" s="138"/>
      <c r="B279" s="174" t="s">
        <v>445</v>
      </c>
      <c r="C279" s="105"/>
      <c r="D279" s="107"/>
      <c r="E279" s="107"/>
      <c r="F279" s="108"/>
      <c r="G279" s="109"/>
      <c r="H279" s="110"/>
      <c r="I279" s="111"/>
      <c r="J279" s="112"/>
      <c r="K279" s="111"/>
      <c r="L279" s="112"/>
      <c r="M279" s="111"/>
      <c r="N279" s="112"/>
      <c r="O279" s="111"/>
      <c r="P279" s="112"/>
      <c r="Q279" s="113"/>
      <c r="R279" s="114"/>
      <c r="S279" s="115"/>
      <c r="T279" s="105"/>
    </row>
    <row r="280" spans="1:20" s="65" customFormat="1" ht="5.0999999999999996" customHeight="1" outlineLevel="1">
      <c r="A280" s="140" t="s">
        <v>301</v>
      </c>
      <c r="B280" s="138" t="s">
        <v>301</v>
      </c>
      <c r="C280" s="170"/>
      <c r="D280" s="108"/>
      <c r="E280" s="108"/>
      <c r="F280" s="108"/>
      <c r="G280" s="108"/>
      <c r="H280" s="110"/>
      <c r="I280" s="110"/>
      <c r="J280" s="143"/>
      <c r="K280" s="142"/>
      <c r="L280" s="143"/>
      <c r="M280" s="142"/>
      <c r="N280" s="143"/>
      <c r="O280" s="142"/>
      <c r="P280" s="143"/>
      <c r="Q280" s="163"/>
      <c r="R280" s="120"/>
      <c r="S280" s="110"/>
      <c r="T280" s="110"/>
    </row>
    <row r="281" spans="1:20" s="65" customFormat="1">
      <c r="A281" s="140" t="s">
        <v>445</v>
      </c>
      <c r="B281" s="138"/>
      <c r="C281" s="170"/>
      <c r="D281" s="110"/>
      <c r="E281" s="110"/>
      <c r="F281" s="107" t="s">
        <v>446</v>
      </c>
      <c r="G281" s="110"/>
      <c r="H281" s="110"/>
      <c r="I281" s="110"/>
      <c r="J281" s="141">
        <f>SUM(J279:J280)</f>
        <v>0</v>
      </c>
      <c r="K281" s="142"/>
      <c r="L281" s="141">
        <f>SUM(L279:L280)</f>
        <v>0</v>
      </c>
      <c r="M281" s="142"/>
      <c r="N281" s="141">
        <f>SUM(N279:N280)</f>
        <v>0</v>
      </c>
      <c r="O281" s="169">
        <f>IF(N$50=0,0,N281/N$50)</f>
        <v>0</v>
      </c>
      <c r="P281" s="141">
        <f>SUM(P279:P280)</f>
        <v>0</v>
      </c>
      <c r="Q281" s="113">
        <f>IF(P$56=0,0,P281/P$56)</f>
        <v>0</v>
      </c>
      <c r="R281" s="120"/>
      <c r="S281" s="110"/>
      <c r="T281" s="110"/>
    </row>
    <row r="282" spans="1:20" s="65" customFormat="1" ht="6.75" customHeight="1">
      <c r="A282" s="138" t="s">
        <v>301</v>
      </c>
      <c r="B282" s="138"/>
      <c r="C282" s="170"/>
      <c r="D282" s="110"/>
      <c r="E282" s="110"/>
      <c r="F282" s="110"/>
      <c r="G282" s="110"/>
      <c r="H282" s="110"/>
      <c r="I282" s="110"/>
      <c r="J282" s="142"/>
      <c r="K282" s="142"/>
      <c r="L282" s="142"/>
      <c r="M282" s="142"/>
      <c r="N282" s="142"/>
      <c r="O282" s="142"/>
      <c r="P282" s="142"/>
      <c r="Q282" s="163"/>
      <c r="R282" s="120"/>
      <c r="S282" s="110"/>
      <c r="T282" s="110"/>
    </row>
    <row r="283" spans="1:20" s="65" customFormat="1">
      <c r="A283" s="138"/>
      <c r="B283" s="140"/>
      <c r="C283" s="105"/>
      <c r="D283" s="110"/>
      <c r="E283" s="145" t="s">
        <v>447</v>
      </c>
      <c r="F283" s="110"/>
      <c r="G283" s="110"/>
      <c r="H283" s="110"/>
      <c r="I283" s="110"/>
      <c r="J283" s="146">
        <f>+J277-J281</f>
        <v>14962.549999999952</v>
      </c>
      <c r="K283" s="142"/>
      <c r="L283" s="146">
        <f>+L277-L281</f>
        <v>10650.839999999997</v>
      </c>
      <c r="M283" s="142"/>
      <c r="N283" s="146">
        <f>+N277-N281</f>
        <v>114460.44999999998</v>
      </c>
      <c r="O283" s="169">
        <f>IF(N$50=0,0,N283/N$50)</f>
        <v>0</v>
      </c>
      <c r="P283" s="146">
        <f>+P277-P281</f>
        <v>123811.94000000025</v>
      </c>
      <c r="Q283" s="113">
        <f>IF(P$56=0,0,P283/P$56)</f>
        <v>8.3787500011758387E-2</v>
      </c>
      <c r="R283" s="120"/>
      <c r="S283" s="110"/>
      <c r="T283" s="110"/>
    </row>
    <row r="284" spans="1:20" s="65" customFormat="1" ht="6.75" customHeight="1">
      <c r="A284" s="138"/>
      <c r="B284" s="138"/>
      <c r="C284" s="170"/>
      <c r="D284" s="110"/>
      <c r="E284" s="110"/>
      <c r="F284" s="110"/>
      <c r="G284" s="110"/>
      <c r="H284" s="110"/>
      <c r="I284" s="110"/>
      <c r="J284" s="142"/>
      <c r="K284" s="142"/>
      <c r="L284" s="142"/>
      <c r="M284" s="142"/>
      <c r="N284" s="142"/>
      <c r="O284" s="142"/>
      <c r="P284" s="142"/>
      <c r="Q284" s="163"/>
      <c r="R284" s="120"/>
      <c r="S284" s="110"/>
      <c r="T284" s="110"/>
    </row>
    <row r="285" spans="1:20" outlineLevel="1">
      <c r="A285" s="105"/>
      <c r="B285" s="106" t="s">
        <v>448</v>
      </c>
      <c r="C285" s="105"/>
      <c r="D285" s="107"/>
      <c r="E285" s="107"/>
      <c r="F285" s="108"/>
      <c r="G285" s="109"/>
      <c r="H285" s="110"/>
      <c r="I285" s="111"/>
      <c r="J285" s="112"/>
      <c r="K285" s="111"/>
      <c r="L285" s="112"/>
      <c r="M285" s="111"/>
      <c r="N285" s="112"/>
      <c r="O285" s="111"/>
      <c r="P285" s="112"/>
      <c r="Q285" s="113"/>
      <c r="R285" s="114"/>
      <c r="S285" s="115"/>
      <c r="T285" s="105"/>
    </row>
    <row r="286" spans="1:20" s="65" customFormat="1" ht="5.0999999999999996" customHeight="1" outlineLevel="1">
      <c r="A286" s="138"/>
      <c r="B286" s="138" t="s">
        <v>301</v>
      </c>
      <c r="C286" s="170"/>
      <c r="D286" s="108"/>
      <c r="E286" s="108"/>
      <c r="F286" s="108"/>
      <c r="G286" s="108"/>
      <c r="H286" s="110"/>
      <c r="I286" s="110"/>
      <c r="J286" s="143"/>
      <c r="K286" s="142"/>
      <c r="L286" s="143"/>
      <c r="M286" s="142"/>
      <c r="N286" s="143"/>
      <c r="O286" s="142"/>
      <c r="P286" s="143"/>
      <c r="Q286" s="163"/>
      <c r="R286" s="120"/>
      <c r="S286" s="110"/>
      <c r="T286" s="110"/>
    </row>
    <row r="287" spans="1:20" s="65" customFormat="1">
      <c r="A287" s="140" t="s">
        <v>448</v>
      </c>
      <c r="B287" s="138" t="s">
        <v>301</v>
      </c>
      <c r="C287" s="170"/>
      <c r="D287" s="110"/>
      <c r="E287" s="110"/>
      <c r="F287" s="107" t="s">
        <v>449</v>
      </c>
      <c r="G287" s="110"/>
      <c r="H287" s="110"/>
      <c r="I287" s="110"/>
      <c r="J287" s="141">
        <f>SUM(J285:J286)</f>
        <v>0</v>
      </c>
      <c r="K287" s="142"/>
      <c r="L287" s="141">
        <f>SUM(L285:L286)</f>
        <v>0</v>
      </c>
      <c r="M287" s="142"/>
      <c r="N287" s="141">
        <f>SUM(N285:N286)</f>
        <v>0</v>
      </c>
      <c r="O287" s="169">
        <f>IF(N$50=0,0,N287/N$50)</f>
        <v>0</v>
      </c>
      <c r="P287" s="141">
        <f>SUM(P285:P286)</f>
        <v>0</v>
      </c>
      <c r="Q287" s="113">
        <f>IF(P$56=0,0,P287/P$56)</f>
        <v>0</v>
      </c>
      <c r="R287" s="120"/>
      <c r="S287" s="110"/>
      <c r="T287" s="110"/>
    </row>
    <row r="288" spans="1:20" s="65" customFormat="1" ht="6.75" customHeight="1">
      <c r="A288" s="138" t="s">
        <v>301</v>
      </c>
      <c r="B288" s="138"/>
      <c r="C288" s="170"/>
      <c r="D288" s="110"/>
      <c r="E288" s="110"/>
      <c r="F288" s="110"/>
      <c r="G288" s="110"/>
      <c r="H288" s="110"/>
      <c r="I288" s="110"/>
      <c r="J288" s="142"/>
      <c r="K288" s="142"/>
      <c r="L288" s="142"/>
      <c r="M288" s="142"/>
      <c r="N288" s="142"/>
      <c r="O288" s="142"/>
      <c r="P288" s="142"/>
      <c r="Q288" s="163"/>
      <c r="R288" s="120"/>
      <c r="S288" s="110"/>
      <c r="T288" s="110"/>
    </row>
    <row r="289" spans="1:20" s="65" customFormat="1" ht="13.5" thickBot="1">
      <c r="A289" s="138" t="s">
        <v>301</v>
      </c>
      <c r="B289" s="140"/>
      <c r="C289" s="105"/>
      <c r="D289" s="110"/>
      <c r="E289" s="145" t="s">
        <v>450</v>
      </c>
      <c r="F289" s="110"/>
      <c r="G289" s="110"/>
      <c r="H289" s="110"/>
      <c r="I289" s="110"/>
      <c r="J289" s="175">
        <f>+J283-J287</f>
        <v>14962.549999999952</v>
      </c>
      <c r="K289" s="142"/>
      <c r="L289" s="175">
        <f>+L283-L287</f>
        <v>10650.839999999997</v>
      </c>
      <c r="M289" s="142"/>
      <c r="N289" s="175">
        <f>+N283-N287</f>
        <v>114460.44999999998</v>
      </c>
      <c r="O289" s="169">
        <f>IF(N$50=0,0,N289/N$50)</f>
        <v>0</v>
      </c>
      <c r="P289" s="175">
        <f>+P283-P287</f>
        <v>123811.94000000025</v>
      </c>
      <c r="Q289" s="113">
        <f>IF(P$56=0,0,P289/P$56)</f>
        <v>8.3787500011758387E-2</v>
      </c>
      <c r="R289" s="120"/>
      <c r="S289" s="110"/>
      <c r="T289" s="110"/>
    </row>
    <row r="290" spans="1:20" s="77" customFormat="1" ht="13.5" thickTop="1">
      <c r="A290" s="138"/>
      <c r="B290" s="138"/>
      <c r="C290" s="170"/>
      <c r="D290" s="110"/>
      <c r="E290" s="110"/>
      <c r="F290" s="107"/>
      <c r="G290" s="110"/>
      <c r="H290" s="105"/>
      <c r="I290" s="105"/>
      <c r="J290" s="176"/>
      <c r="K290" s="105"/>
      <c r="L290" s="176"/>
      <c r="M290" s="120"/>
      <c r="N290" s="176"/>
      <c r="O290" s="120"/>
      <c r="P290" s="176"/>
      <c r="Q290" s="177"/>
      <c r="R290" s="105"/>
      <c r="S290" s="176"/>
      <c r="T290" s="176"/>
    </row>
    <row r="291" spans="1:20" outlineLevel="1">
      <c r="A291" s="140"/>
      <c r="B291" s="178" t="s">
        <v>451</v>
      </c>
      <c r="C291" s="131"/>
      <c r="D291" s="131"/>
      <c r="E291" s="131"/>
      <c r="F291" s="131"/>
      <c r="G291" s="131"/>
      <c r="H291" s="131"/>
      <c r="I291" s="131"/>
      <c r="J291" s="131"/>
      <c r="K291" s="131"/>
      <c r="L291" s="131"/>
      <c r="M291" s="105"/>
      <c r="N291" s="131"/>
      <c r="O291" s="105"/>
      <c r="P291" s="131"/>
      <c r="Q291" s="179"/>
      <c r="R291" s="105"/>
      <c r="S291" s="105"/>
      <c r="T291" s="105"/>
    </row>
    <row r="292" spans="1:20" ht="6" customHeight="1" outlineLevel="1">
      <c r="A292" s="138"/>
      <c r="B292" s="140"/>
      <c r="C292" s="105"/>
      <c r="D292" s="105"/>
      <c r="E292" s="105"/>
      <c r="F292" s="105"/>
      <c r="G292" s="105"/>
      <c r="H292" s="105"/>
      <c r="I292" s="105"/>
      <c r="J292" s="143"/>
      <c r="K292" s="142"/>
      <c r="L292" s="143"/>
      <c r="M292" s="142"/>
      <c r="N292" s="143"/>
      <c r="O292" s="142"/>
      <c r="P292" s="143"/>
      <c r="Q292" s="179"/>
      <c r="R292" s="105"/>
      <c r="S292" s="105"/>
      <c r="T292" s="105"/>
    </row>
    <row r="293" spans="1:20" s="64" customFormat="1">
      <c r="A293" s="180" t="s">
        <v>451</v>
      </c>
      <c r="B293" s="181"/>
      <c r="C293" s="173"/>
      <c r="D293" s="173"/>
      <c r="E293" s="173" t="s">
        <v>452</v>
      </c>
      <c r="F293" s="173"/>
      <c r="G293" s="173"/>
      <c r="H293" s="173"/>
      <c r="I293" s="173"/>
      <c r="J293" s="182">
        <f>SUM(J291:J292)</f>
        <v>0</v>
      </c>
      <c r="K293" s="183"/>
      <c r="L293" s="182">
        <f>SUM(L291:L292)</f>
        <v>0</v>
      </c>
      <c r="M293" s="183"/>
      <c r="N293" s="182">
        <f>SUM(N291:N292)</f>
        <v>0</v>
      </c>
      <c r="O293" s="184"/>
      <c r="P293" s="182">
        <f>SUM(P291:P292)</f>
        <v>0</v>
      </c>
      <c r="Q293" s="185"/>
      <c r="R293" s="173"/>
      <c r="S293" s="173"/>
      <c r="T293" s="173"/>
    </row>
    <row r="294" spans="1:20">
      <c r="A294" s="186"/>
      <c r="B294" s="140"/>
      <c r="C294" s="105"/>
      <c r="D294" s="105"/>
      <c r="E294" s="105"/>
      <c r="F294" s="105"/>
      <c r="G294" s="105"/>
      <c r="H294" s="105"/>
      <c r="I294" s="105"/>
      <c r="J294" s="170"/>
      <c r="K294" s="170"/>
      <c r="L294" s="170"/>
      <c r="M294" s="170"/>
      <c r="N294" s="170"/>
      <c r="O294" s="170"/>
      <c r="P294" s="170"/>
      <c r="Q294" s="187"/>
      <c r="R294" s="170"/>
      <c r="S294" s="170"/>
      <c r="T294" s="105"/>
    </row>
    <row r="295" spans="1:20">
      <c r="A295" s="186"/>
      <c r="B295" s="138"/>
      <c r="C295" s="170"/>
      <c r="D295" s="108"/>
      <c r="E295" s="108"/>
      <c r="F295" s="108"/>
      <c r="G295" s="108"/>
      <c r="H295" s="105"/>
      <c r="I295" s="105"/>
      <c r="J295" s="176"/>
      <c r="K295" s="105"/>
      <c r="L295" s="176"/>
      <c r="M295" s="120"/>
      <c r="N295" s="176"/>
      <c r="O295" s="120"/>
      <c r="P295" s="176"/>
      <c r="Q295" s="179"/>
      <c r="R295" s="105"/>
      <c r="S295" s="105"/>
      <c r="T295" s="105"/>
    </row>
  </sheetData>
  <pageMargins left="0.15" right="0.2" top="0.25" bottom="0.25" header="0.18" footer="0.25"/>
  <pageSetup scale="71" fitToHeight="0" orientation="portrait" errors="blank" horizontalDpi="4294967292" r:id="rId1"/>
  <headerFooter alignWithMargins="0">
    <oddFooter>&amp;L&amp;F - &amp;A&amp;CPrinted &amp;D - &amp;T&amp;RPage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N15"/>
  <sheetViews>
    <sheetView workbookViewId="0">
      <selection activeCell="M7" sqref="M7"/>
    </sheetView>
  </sheetViews>
  <sheetFormatPr defaultRowHeight="15"/>
  <cols>
    <col min="1" max="1" width="20.5703125" bestFit="1" customWidth="1"/>
    <col min="2" max="2" width="9.5703125" bestFit="1" customWidth="1"/>
    <col min="3" max="3" width="8.140625" bestFit="1" customWidth="1"/>
    <col min="5" max="5" width="3.85546875" customWidth="1"/>
    <col min="7" max="7" width="10.42578125" bestFit="1" customWidth="1"/>
  </cols>
  <sheetData>
    <row r="1" spans="1:14">
      <c r="A1" s="47" t="s">
        <v>476</v>
      </c>
    </row>
    <row r="2" spans="1:14">
      <c r="A2" s="47" t="s">
        <v>477</v>
      </c>
    </row>
    <row r="3" spans="1:14">
      <c r="A3" s="47" t="str">
        <f>'Spokane Reg - Price out'!A3</f>
        <v>July 1, 2015 - June 30, 2016</v>
      </c>
    </row>
    <row r="5" spans="1:14">
      <c r="B5" s="197" t="s">
        <v>464</v>
      </c>
      <c r="C5" s="197"/>
      <c r="D5" s="197"/>
      <c r="F5" s="197" t="s">
        <v>465</v>
      </c>
      <c r="G5" s="197"/>
      <c r="H5" s="197"/>
      <c r="I5" s="197"/>
      <c r="J5" s="197"/>
      <c r="K5" s="197"/>
      <c r="L5" s="197"/>
    </row>
    <row r="6" spans="1:14">
      <c r="B6" s="50" t="s">
        <v>467</v>
      </c>
      <c r="C6" s="50" t="s">
        <v>466</v>
      </c>
      <c r="D6" s="50" t="s">
        <v>0</v>
      </c>
      <c r="E6" s="88"/>
      <c r="F6" s="50" t="s">
        <v>472</v>
      </c>
      <c r="G6" s="50" t="s">
        <v>271</v>
      </c>
      <c r="H6" s="50" t="s">
        <v>473</v>
      </c>
      <c r="I6" s="50" t="s">
        <v>273</v>
      </c>
      <c r="J6" s="50" t="s">
        <v>274</v>
      </c>
      <c r="K6" s="50" t="s">
        <v>275</v>
      </c>
      <c r="L6" s="50" t="s">
        <v>276</v>
      </c>
      <c r="M6" s="50" t="s">
        <v>0</v>
      </c>
    </row>
    <row r="7" spans="1:14">
      <c r="A7" t="s">
        <v>468</v>
      </c>
      <c r="B7" s="52">
        <f>'Spokane Reg - Price out'!M33</f>
        <v>1134.5994778716604</v>
      </c>
      <c r="C7" s="52">
        <f>SUM('Whitman Reg - Price Out'!K12:K22)</f>
        <v>3300.0865453108131</v>
      </c>
      <c r="D7" s="52">
        <f>SUM(B7:C7)</f>
        <v>4434.6860231824739</v>
      </c>
      <c r="E7" s="52"/>
      <c r="F7" s="52">
        <v>0</v>
      </c>
      <c r="G7" s="52">
        <f>'Harrington Non-Reg - Price Out'!AJ22</f>
        <v>160.43767126148705</v>
      </c>
      <c r="H7" s="52">
        <f>'Latah Co Non-Reg - Price Out'!AJ14</f>
        <v>52.916666666666671</v>
      </c>
      <c r="I7" s="52">
        <f>'Rockford Non-Reg - Price Out'!AJ24</f>
        <v>168.18761627906977</v>
      </c>
      <c r="J7" s="52">
        <f>'Spangle Non-Reg - Price Out'!AI17</f>
        <v>110.78853931007876</v>
      </c>
      <c r="K7" s="52">
        <f>'Starbuck Non-Reg - Price Out'!AI21</f>
        <v>61.979184641932704</v>
      </c>
      <c r="L7" s="52">
        <f>'Tekoa Non-Reg - Price Out'!AJ27</f>
        <v>276.87499914296183</v>
      </c>
      <c r="M7" s="78">
        <f>SUM(F7:L7)</f>
        <v>831.18467730219686</v>
      </c>
    </row>
    <row r="8" spans="1:14">
      <c r="A8" t="s">
        <v>469</v>
      </c>
      <c r="B8" s="52">
        <f>SUM('Spokane Reg - Price out'!M38:M52,'Spokane Reg - Price out'!M56:M60)</f>
        <v>82.885488195313542</v>
      </c>
      <c r="C8" s="52">
        <f>SUM('Whitman Reg - Price Out'!K48:K85)</f>
        <v>740.65781019034932</v>
      </c>
      <c r="D8" s="52">
        <f t="shared" ref="D8:D12" si="0">SUM(B8:C8)</f>
        <v>823.54329838566287</v>
      </c>
      <c r="E8" s="52"/>
      <c r="F8" s="52">
        <f>'Army Non-Reg - Price Out'!AJ20</f>
        <v>5.898472129231437</v>
      </c>
      <c r="G8" s="52">
        <f>'Harrington Non-Reg - Price Out'!AJ39</f>
        <v>32.958333333333329</v>
      </c>
      <c r="H8" s="52">
        <v>0</v>
      </c>
      <c r="I8" s="52">
        <f>'Rockford Non-Reg - Price Out'!AJ47</f>
        <v>20.916670128791026</v>
      </c>
      <c r="J8" s="52">
        <f>'Spangle Non-Reg - Price Out'!AI33</f>
        <v>16.767219660429262</v>
      </c>
      <c r="K8" s="52">
        <f>'Starbuck Non-Reg - Price Out'!AI32</f>
        <v>7.4375000000000009</v>
      </c>
      <c r="L8" s="52">
        <f>'Tekoa Non-Reg - Price Out'!AJ63</f>
        <v>27.104166666666671</v>
      </c>
      <c r="M8" s="78">
        <f t="shared" ref="M8:M12" si="1">SUM(F8:L8)</f>
        <v>111.08236191845172</v>
      </c>
    </row>
    <row r="9" spans="1:14">
      <c r="A9" t="s">
        <v>470</v>
      </c>
      <c r="B9" s="53"/>
      <c r="C9" s="53"/>
      <c r="D9" s="52">
        <f t="shared" si="0"/>
        <v>0</v>
      </c>
      <c r="E9" s="52"/>
      <c r="F9" s="52"/>
      <c r="G9" s="52"/>
      <c r="H9" s="52"/>
      <c r="I9" s="52"/>
      <c r="J9" s="52"/>
      <c r="K9" s="52"/>
      <c r="L9" s="52"/>
      <c r="M9" s="78">
        <f t="shared" si="1"/>
        <v>0</v>
      </c>
    </row>
    <row r="10" spans="1:14">
      <c r="A10" t="s">
        <v>471</v>
      </c>
      <c r="B10" s="53"/>
      <c r="C10" s="53">
        <f>'Whitman Reg - Price Out'!K42</f>
        <v>30.833333333333332</v>
      </c>
      <c r="D10" s="53">
        <f t="shared" si="0"/>
        <v>30.833333333333332</v>
      </c>
      <c r="E10" s="52"/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78">
        <f t="shared" si="1"/>
        <v>0</v>
      </c>
    </row>
    <row r="11" spans="1:14">
      <c r="A11" t="s">
        <v>459</v>
      </c>
      <c r="B11" s="53"/>
      <c r="C11" s="53">
        <v>3</v>
      </c>
      <c r="D11" s="53">
        <f t="shared" si="0"/>
        <v>3</v>
      </c>
      <c r="E11" s="52"/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78">
        <f t="shared" si="1"/>
        <v>0</v>
      </c>
    </row>
    <row r="12" spans="1:14">
      <c r="A12" t="s">
        <v>255</v>
      </c>
      <c r="B12" s="53"/>
      <c r="C12" s="53">
        <f>'Whitman Reg - Price Out'!K128</f>
        <v>29.729166666666668</v>
      </c>
      <c r="D12" s="53">
        <f t="shared" si="0"/>
        <v>29.729166666666668</v>
      </c>
      <c r="E12" s="52"/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78">
        <f t="shared" si="1"/>
        <v>0</v>
      </c>
    </row>
    <row r="13" spans="1:14">
      <c r="D13" s="78">
        <f>SUM(D7:D12)</f>
        <v>5321.7918215681366</v>
      </c>
      <c r="H13" s="52"/>
      <c r="I13" s="52"/>
      <c r="M13" s="78">
        <f>SUM(M7:M12)</f>
        <v>942.2670392206486</v>
      </c>
      <c r="N13" s="78">
        <f>D13+M13</f>
        <v>6264.0588607887848</v>
      </c>
    </row>
    <row r="14" spans="1:14">
      <c r="B14" s="86"/>
      <c r="C14" s="86"/>
      <c r="D14" s="86"/>
    </row>
    <row r="15" spans="1:14">
      <c r="D15" s="78"/>
    </row>
  </sheetData>
  <mergeCells count="2">
    <mergeCell ref="F5:L5"/>
    <mergeCell ref="B5:D5"/>
  </mergeCells>
  <pageMargins left="0.7" right="0.7" top="0.75" bottom="0.75" header="0.3" footer="0.3"/>
  <pageSetup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N30"/>
  <sheetViews>
    <sheetView workbookViewId="0">
      <selection activeCell="F25" sqref="F25"/>
    </sheetView>
  </sheetViews>
  <sheetFormatPr defaultRowHeight="15"/>
  <cols>
    <col min="1" max="1" width="24.7109375" customWidth="1"/>
    <col min="2" max="2" width="13.140625" bestFit="1" customWidth="1"/>
    <col min="3" max="3" width="12.28515625" bestFit="1" customWidth="1"/>
    <col min="4" max="4" width="15.7109375" bestFit="1" customWidth="1"/>
    <col min="7" max="7" width="20.5703125" bestFit="1" customWidth="1"/>
    <col min="9" max="9" width="12.85546875" customWidth="1"/>
    <col min="10" max="10" width="15.7109375" bestFit="1" customWidth="1"/>
  </cols>
  <sheetData>
    <row r="1" spans="1:14">
      <c r="A1" s="47" t="s">
        <v>476</v>
      </c>
    </row>
    <row r="2" spans="1:14">
      <c r="A2" s="47" t="s">
        <v>480</v>
      </c>
    </row>
    <row r="3" spans="1:14">
      <c r="A3" s="47"/>
    </row>
    <row r="4" spans="1:14">
      <c r="G4" s="60"/>
      <c r="H4" s="60"/>
      <c r="I4" s="60"/>
      <c r="J4" s="60"/>
      <c r="K4" s="60"/>
      <c r="L4" s="60"/>
      <c r="M4" s="60"/>
      <c r="N4" s="60"/>
    </row>
    <row r="5" spans="1:14">
      <c r="G5" s="60"/>
      <c r="H5" s="60"/>
      <c r="I5" s="60"/>
      <c r="J5" s="60"/>
      <c r="K5" s="60"/>
      <c r="L5" s="60"/>
      <c r="M5" s="60"/>
      <c r="N5" s="60"/>
    </row>
    <row r="6" spans="1:14" ht="15.75" thickBot="1">
      <c r="B6" s="94" t="s">
        <v>481</v>
      </c>
      <c r="C6" s="94" t="s">
        <v>482</v>
      </c>
      <c r="D6" s="94" t="s">
        <v>485</v>
      </c>
      <c r="E6" s="96" t="s">
        <v>0</v>
      </c>
      <c r="G6" s="60"/>
      <c r="H6" s="191"/>
      <c r="I6" s="191"/>
      <c r="J6" s="191"/>
      <c r="K6" s="192"/>
      <c r="L6" s="60"/>
      <c r="M6" s="60"/>
      <c r="N6" s="60"/>
    </row>
    <row r="7" spans="1:14">
      <c r="G7" s="60"/>
      <c r="H7" s="60"/>
      <c r="I7" s="60"/>
      <c r="J7" s="60"/>
      <c r="K7" s="60"/>
      <c r="L7" s="60"/>
      <c r="M7" s="60"/>
      <c r="N7" s="60"/>
    </row>
    <row r="8" spans="1:14">
      <c r="A8" s="90" t="s">
        <v>483</v>
      </c>
      <c r="B8" s="52">
        <f>SUM('Whitman Reg - Price Out'!L12:L24,'Whitman Reg - Price Out'!L76:L86)</f>
        <v>2258.0462827478159</v>
      </c>
      <c r="C8" s="52">
        <f>SUM('Spokane Reg - Price out'!N12:N22,'Spokane Reg - Price out'!N48:N52)</f>
        <v>558.8567211811112</v>
      </c>
      <c r="D8" s="52">
        <f>SUM('Harrington Non-Reg - Price Out'!AK14:AK16,'Latah Co Non-Reg - Price Out'!AK13,'Rockford Non-Reg - Price Out'!AK15:AK17,'Spangle Non-Reg - Price Out'!AJ12:AJ13,'Starbuck Non-Reg - Price Out'!AJ15:AJ17,'Tekoa Non-Reg - Price Out'!AK16:AK18,'Harrington Non-Reg - Price Out'!AK33,'Rockford Non-Reg - Price Out'!AK34,'Spangle Non-Reg - Price Out'!AJ25:AJ26,'Starbuck Non-Reg - Price Out'!AJ27:AJ28,'Tekoa Non-Reg - Price Out'!AK43:AK44)</f>
        <v>628.98644236945734</v>
      </c>
      <c r="E8" s="97">
        <f>SUM(B8:D8)</f>
        <v>3445.8894462983844</v>
      </c>
      <c r="G8" s="193"/>
      <c r="H8" s="194"/>
      <c r="I8" s="194"/>
      <c r="J8" s="194"/>
      <c r="K8" s="194"/>
      <c r="L8" s="60"/>
      <c r="M8" s="60"/>
      <c r="N8" s="60"/>
    </row>
    <row r="9" spans="1:14">
      <c r="A9" s="90" t="s">
        <v>484</v>
      </c>
      <c r="B9" s="52">
        <f>'Whitman Reg - Price Out'!K42</f>
        <v>30.833333333333332</v>
      </c>
      <c r="C9" s="52"/>
      <c r="D9" s="52"/>
      <c r="E9" s="97">
        <f>SUM(B9:D9)</f>
        <v>30.833333333333332</v>
      </c>
      <c r="G9" s="193"/>
      <c r="H9" s="194"/>
      <c r="I9" s="194"/>
      <c r="J9" s="194"/>
      <c r="K9" s="194"/>
      <c r="L9" s="60"/>
      <c r="M9" s="60"/>
      <c r="N9" s="60"/>
    </row>
    <row r="10" spans="1:14">
      <c r="A10" s="90" t="s">
        <v>479</v>
      </c>
      <c r="B10" s="52">
        <f>SUM('Whitman Reg - Price Out'!L48:L75,'Whitman Reg - Price Out'!L96:L100)</f>
        <v>521.40377303546302</v>
      </c>
      <c r="C10" s="52">
        <f>SUM('Spokane Reg - Price out'!N38:N47,'Spokane Reg - Price out'!N56:N60)</f>
        <v>64.729068574851297</v>
      </c>
      <c r="D10" s="52">
        <f>SUM('Army Non-Reg - Price Out'!AK13:AK15,'Harrington Non-Reg - Price Out'!AK27:AK32,'Rockford Non-Reg - Price Out'!AK29:AK32,'Spangle Non-Reg - Price Out'!AJ22:AJ24,'Starbuck Non-Reg - Price Out'!AJ26,'Tekoa Non-Reg - Price Out'!AK32:AK39)</f>
        <v>69.572303765649281</v>
      </c>
      <c r="E10" s="97">
        <f>SUM(B10:D10)</f>
        <v>655.70514537596364</v>
      </c>
      <c r="G10" s="193"/>
      <c r="H10" s="194"/>
      <c r="I10" s="194"/>
      <c r="J10" s="194"/>
      <c r="K10" s="194"/>
      <c r="L10" s="60"/>
      <c r="M10" s="60"/>
      <c r="N10" s="60"/>
    </row>
    <row r="11" spans="1:14">
      <c r="A11" s="90" t="s">
        <v>255</v>
      </c>
      <c r="C11" s="52"/>
      <c r="D11" s="52">
        <f>SUM('Whitman Reg - Price Out'!L126:L127)</f>
        <v>29.729166666666668</v>
      </c>
      <c r="E11" s="97">
        <f>SUM(C11:D11)</f>
        <v>29.729166666666668</v>
      </c>
      <c r="G11" s="193"/>
      <c r="H11" s="194"/>
      <c r="I11" s="194"/>
      <c r="J11" s="194"/>
      <c r="K11" s="194"/>
      <c r="L11" s="60"/>
      <c r="M11" s="60"/>
      <c r="N11" s="60"/>
    </row>
    <row r="12" spans="1:14">
      <c r="G12" s="60"/>
      <c r="H12" s="60"/>
      <c r="I12" s="54"/>
      <c r="J12" s="54"/>
      <c r="K12" s="60"/>
      <c r="L12" s="60"/>
      <c r="M12" s="60"/>
      <c r="N12" s="60"/>
    </row>
    <row r="13" spans="1:14" ht="15.75" thickBot="1">
      <c r="A13" s="90" t="s">
        <v>0</v>
      </c>
      <c r="B13" s="98">
        <f>SUM(B8:B12)</f>
        <v>2810.2833891166124</v>
      </c>
      <c r="C13" s="98">
        <f>SUM(C8:C12)</f>
        <v>623.58578975596254</v>
      </c>
      <c r="D13" s="98">
        <f>SUM(D8:D12)</f>
        <v>728.28791280177325</v>
      </c>
      <c r="E13" s="98">
        <f>SUM(E8:E12)</f>
        <v>4162.1570916743485</v>
      </c>
      <c r="G13" s="193"/>
      <c r="H13" s="195"/>
      <c r="I13" s="195"/>
      <c r="J13" s="195"/>
      <c r="K13" s="195"/>
      <c r="L13" s="60"/>
      <c r="M13" s="60"/>
      <c r="N13" s="60"/>
    </row>
    <row r="14" spans="1:14" ht="15.75" thickTop="1">
      <c r="G14" s="60"/>
      <c r="H14" s="60"/>
      <c r="I14" s="60"/>
      <c r="J14" s="60"/>
      <c r="K14" s="60"/>
      <c r="L14" s="60"/>
      <c r="M14" s="60"/>
      <c r="N14" s="60"/>
    </row>
    <row r="15" spans="1:14">
      <c r="B15" s="95"/>
      <c r="G15" s="196"/>
      <c r="H15" s="60"/>
      <c r="I15" s="60"/>
      <c r="J15" s="60"/>
      <c r="K15" s="60"/>
      <c r="L15" s="60"/>
      <c r="M15" s="60"/>
      <c r="N15" s="60"/>
    </row>
    <row r="16" spans="1:14">
      <c r="G16" s="60"/>
      <c r="H16" s="60"/>
      <c r="I16" s="60"/>
      <c r="J16" s="60"/>
      <c r="K16" s="60"/>
      <c r="L16" s="60"/>
      <c r="M16" s="60"/>
      <c r="N16" s="60"/>
    </row>
    <row r="17" spans="1:14">
      <c r="A17" s="60"/>
      <c r="B17" s="191"/>
      <c r="C17" s="191"/>
      <c r="D17" s="191"/>
      <c r="E17" s="192"/>
      <c r="F17" s="60"/>
      <c r="G17" s="60"/>
      <c r="H17" s="191"/>
      <c r="I17" s="191"/>
      <c r="J17" s="191"/>
      <c r="K17" s="192"/>
      <c r="L17" s="60"/>
      <c r="M17" s="60"/>
      <c r="N17" s="60"/>
    </row>
    <row r="18" spans="1:14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</row>
    <row r="19" spans="1:14">
      <c r="A19" s="193"/>
      <c r="B19" s="194"/>
      <c r="C19" s="194"/>
      <c r="D19" s="194"/>
      <c r="E19" s="195"/>
      <c r="F19" s="60"/>
      <c r="G19" s="193"/>
      <c r="H19" s="194"/>
      <c r="I19" s="194"/>
      <c r="J19" s="194"/>
      <c r="K19" s="195"/>
      <c r="L19" s="60"/>
      <c r="M19" s="60"/>
      <c r="N19" s="60"/>
    </row>
    <row r="20" spans="1:14">
      <c r="A20" s="193"/>
      <c r="B20" s="194"/>
      <c r="C20" s="194"/>
      <c r="D20" s="194"/>
      <c r="E20" s="195"/>
      <c r="F20" s="60"/>
      <c r="G20" s="193"/>
      <c r="H20" s="194"/>
      <c r="I20" s="194"/>
      <c r="J20" s="194"/>
      <c r="K20" s="195"/>
      <c r="L20" s="60"/>
      <c r="M20" s="60"/>
      <c r="N20" s="60"/>
    </row>
    <row r="21" spans="1:14">
      <c r="A21" s="193"/>
      <c r="B21" s="194"/>
      <c r="C21" s="194"/>
      <c r="D21" s="194"/>
      <c r="E21" s="195"/>
      <c r="F21" s="60"/>
      <c r="G21" s="193"/>
      <c r="H21" s="194"/>
      <c r="I21" s="194"/>
      <c r="J21" s="194"/>
      <c r="K21" s="195"/>
      <c r="L21" s="60"/>
      <c r="M21" s="60"/>
      <c r="N21" s="60"/>
    </row>
    <row r="22" spans="1:14">
      <c r="A22" s="193"/>
      <c r="B22" s="194"/>
      <c r="C22" s="194"/>
      <c r="D22" s="194"/>
      <c r="E22" s="195"/>
      <c r="F22" s="60"/>
      <c r="G22" s="193"/>
      <c r="H22" s="194"/>
      <c r="I22" s="194"/>
      <c r="J22" s="194"/>
      <c r="K22" s="195"/>
      <c r="L22" s="60"/>
      <c r="M22" s="60"/>
      <c r="N22" s="60"/>
    </row>
    <row r="23" spans="1:14">
      <c r="A23" s="60"/>
      <c r="B23" s="60"/>
      <c r="C23" s="60"/>
      <c r="D23" s="60"/>
      <c r="E23" s="194"/>
      <c r="F23" s="60"/>
      <c r="G23" s="60"/>
      <c r="H23" s="60"/>
      <c r="I23" s="60"/>
      <c r="J23" s="60"/>
      <c r="K23" s="194"/>
      <c r="L23" s="60"/>
      <c r="M23" s="60"/>
      <c r="N23" s="60"/>
    </row>
    <row r="24" spans="1:14">
      <c r="A24" s="193"/>
      <c r="B24" s="195"/>
      <c r="C24" s="195"/>
      <c r="D24" s="195"/>
      <c r="E24" s="195"/>
      <c r="F24" s="60"/>
      <c r="G24" s="193"/>
      <c r="H24" s="195"/>
      <c r="I24" s="195"/>
      <c r="J24" s="195"/>
      <c r="K24" s="195"/>
      <c r="L24" s="60"/>
      <c r="M24" s="60"/>
      <c r="N24" s="60"/>
    </row>
    <row r="25" spans="1:14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</row>
    <row r="26" spans="1:14">
      <c r="G26" s="60"/>
      <c r="H26" s="60"/>
      <c r="I26" s="60"/>
      <c r="J26" s="60"/>
      <c r="K26" s="60"/>
      <c r="L26" s="60"/>
      <c r="M26" s="60"/>
      <c r="N26" s="60"/>
    </row>
    <row r="27" spans="1:14">
      <c r="G27" s="60"/>
      <c r="H27" s="60"/>
      <c r="I27" s="60"/>
      <c r="J27" s="60"/>
      <c r="K27" s="60"/>
      <c r="L27" s="60"/>
      <c r="M27" s="60"/>
      <c r="N27" s="60"/>
    </row>
    <row r="28" spans="1:14">
      <c r="B28" s="99"/>
      <c r="C28" s="189"/>
      <c r="D28" s="189"/>
      <c r="G28" s="60"/>
      <c r="H28" s="60"/>
      <c r="I28" s="60"/>
      <c r="J28" s="60"/>
      <c r="K28" s="60"/>
      <c r="L28" s="60"/>
      <c r="M28" s="60"/>
      <c r="N28" s="60"/>
    </row>
    <row r="29" spans="1:14">
      <c r="B29" s="190"/>
      <c r="C29" s="99"/>
      <c r="E29" s="56"/>
    </row>
    <row r="30" spans="1:14">
      <c r="B30" s="190"/>
      <c r="E30" s="56"/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9"/>
  </sheetPr>
  <dimension ref="A1:O114"/>
  <sheetViews>
    <sheetView zoomScale="110" zoomScaleNormal="110" workbookViewId="0">
      <pane xSplit="2" ySplit="6" topLeftCell="E7" activePane="bottomRight" state="frozen"/>
      <selection activeCell="E180" sqref="E180"/>
      <selection pane="topRight" activeCell="E180" sqref="E180"/>
      <selection pane="bottomLeft" activeCell="E180" sqref="E180"/>
      <selection pane="bottomRight" activeCell="I25" sqref="I25"/>
    </sheetView>
  </sheetViews>
  <sheetFormatPr defaultRowHeight="12.75" outlineLevelCol="1"/>
  <cols>
    <col min="1" max="1" width="22.7109375" style="16" customWidth="1"/>
    <col min="2" max="2" width="29.140625" style="16" bestFit="1" customWidth="1"/>
    <col min="3" max="3" width="12.28515625" style="5" hidden="1" customWidth="1" outlineLevel="1"/>
    <col min="4" max="4" width="12.42578125" style="5" hidden="1" customWidth="1" outlineLevel="1"/>
    <col min="5" max="5" width="2" style="5" customWidth="1" collapsed="1"/>
    <col min="6" max="6" width="11.140625" style="5" hidden="1" customWidth="1" outlineLevel="1"/>
    <col min="7" max="7" width="12.42578125" style="5" hidden="1" customWidth="1" outlineLevel="1"/>
    <col min="8" max="8" width="2" style="5" hidden="1" customWidth="1" outlineLevel="1"/>
    <col min="9" max="9" width="12" style="5" bestFit="1" customWidth="1" collapsed="1"/>
    <col min="10" max="10" width="5.7109375" style="5" customWidth="1"/>
    <col min="11" max="11" width="12.140625" style="5" hidden="1" customWidth="1" outlineLevel="1"/>
    <col min="12" max="12" width="12.42578125" style="5" hidden="1" customWidth="1" outlineLevel="1"/>
    <col min="13" max="13" width="9.140625" style="5" collapsed="1"/>
    <col min="14" max="14" width="9.140625" style="91"/>
    <col min="15" max="16384" width="9.140625" style="5"/>
  </cols>
  <sheetData>
    <row r="1" spans="1:15" ht="12" customHeight="1">
      <c r="A1" s="1" t="s">
        <v>28</v>
      </c>
      <c r="B1" s="2"/>
      <c r="C1" s="3"/>
      <c r="D1" s="3"/>
      <c r="E1" s="2"/>
      <c r="F1" s="4"/>
      <c r="G1" s="4"/>
      <c r="H1" s="4"/>
      <c r="I1" s="4"/>
      <c r="J1" s="4"/>
      <c r="K1" s="4"/>
      <c r="L1" s="4"/>
    </row>
    <row r="2" spans="1:15" ht="12" customHeight="1">
      <c r="A2" s="1" t="s">
        <v>493</v>
      </c>
      <c r="B2" s="2"/>
      <c r="C2" s="3"/>
      <c r="D2" s="3"/>
      <c r="E2" s="2"/>
      <c r="F2" s="100" t="s">
        <v>494</v>
      </c>
      <c r="G2" s="4"/>
      <c r="H2" s="4"/>
      <c r="I2" s="4"/>
      <c r="J2" s="4"/>
      <c r="K2" s="4"/>
      <c r="L2" s="4"/>
    </row>
    <row r="3" spans="1:15" ht="12" customHeight="1">
      <c r="A3" s="6" t="s">
        <v>497</v>
      </c>
      <c r="B3" s="2"/>
      <c r="C3" s="3"/>
      <c r="D3" s="3"/>
      <c r="E3" s="2"/>
      <c r="F3" s="7"/>
      <c r="G3" s="4"/>
      <c r="H3" s="4"/>
      <c r="I3" s="4"/>
      <c r="J3" s="4"/>
      <c r="K3" s="4"/>
      <c r="L3" s="4"/>
    </row>
    <row r="4" spans="1:15" ht="12" customHeight="1">
      <c r="A4" s="2"/>
      <c r="B4" s="8"/>
      <c r="C4" s="9" t="s">
        <v>498</v>
      </c>
      <c r="D4" s="9" t="s">
        <v>499</v>
      </c>
      <c r="E4" s="2"/>
      <c r="F4" s="10" t="s">
        <v>498</v>
      </c>
      <c r="G4" s="10" t="s">
        <v>499</v>
      </c>
      <c r="H4" s="10"/>
      <c r="I4" s="11" t="s">
        <v>0</v>
      </c>
      <c r="J4" s="4"/>
      <c r="K4" s="12" t="s">
        <v>498</v>
      </c>
      <c r="L4" s="12" t="s">
        <v>499</v>
      </c>
      <c r="M4" s="12" t="s">
        <v>487</v>
      </c>
      <c r="N4" s="92" t="s">
        <v>488</v>
      </c>
      <c r="O4" s="92" t="s">
        <v>492</v>
      </c>
    </row>
    <row r="5" spans="1:15" ht="12" customHeight="1">
      <c r="A5" s="13" t="s">
        <v>1</v>
      </c>
      <c r="B5" s="8" t="s">
        <v>2</v>
      </c>
      <c r="C5" s="14" t="s">
        <v>3</v>
      </c>
      <c r="D5" s="14" t="s">
        <v>3</v>
      </c>
      <c r="E5" s="8"/>
      <c r="F5" s="11" t="s">
        <v>4</v>
      </c>
      <c r="G5" s="11" t="s">
        <v>4</v>
      </c>
      <c r="H5" s="11"/>
      <c r="I5" s="11" t="s">
        <v>4</v>
      </c>
      <c r="J5" s="4"/>
      <c r="K5" s="15" t="s">
        <v>5</v>
      </c>
      <c r="L5" s="15" t="s">
        <v>5</v>
      </c>
      <c r="M5" s="15" t="s">
        <v>486</v>
      </c>
      <c r="N5" s="93" t="s">
        <v>489</v>
      </c>
      <c r="O5" s="93" t="s">
        <v>491</v>
      </c>
    </row>
    <row r="6" spans="1:15" ht="12" customHeight="1"/>
    <row r="7" spans="1:15" s="4" customFormat="1" ht="12" customHeight="1">
      <c r="B7" s="2"/>
      <c r="C7" s="3"/>
      <c r="D7" s="3"/>
      <c r="E7" s="2"/>
      <c r="M7" s="5"/>
      <c r="N7" s="22"/>
    </row>
    <row r="8" spans="1:15" s="4" customFormat="1" ht="12" customHeight="1">
      <c r="C8" s="3"/>
      <c r="D8" s="3"/>
      <c r="E8" s="17"/>
      <c r="M8" s="5"/>
      <c r="N8" s="22"/>
    </row>
    <row r="9" spans="1:15" s="4" customFormat="1" ht="12" customHeight="1">
      <c r="A9" s="18" t="s">
        <v>6</v>
      </c>
      <c r="B9" s="18" t="s">
        <v>6</v>
      </c>
      <c r="C9" s="3"/>
      <c r="D9" s="3"/>
      <c r="E9" s="17"/>
      <c r="M9" s="5"/>
      <c r="N9" s="22"/>
    </row>
    <row r="10" spans="1:15" s="4" customFormat="1" ht="12" customHeight="1">
      <c r="A10" s="18"/>
      <c r="B10" s="18"/>
      <c r="C10" s="3"/>
      <c r="D10" s="3"/>
      <c r="E10" s="17"/>
      <c r="M10" s="5"/>
      <c r="N10" s="22"/>
    </row>
    <row r="11" spans="1:15" s="4" customFormat="1" ht="12" customHeight="1">
      <c r="A11" s="19" t="s">
        <v>7</v>
      </c>
      <c r="B11" s="19" t="s">
        <v>7</v>
      </c>
      <c r="C11" s="20"/>
      <c r="D11" s="20"/>
      <c r="E11" s="20"/>
      <c r="F11" s="22"/>
      <c r="G11" s="22"/>
      <c r="H11" s="22"/>
      <c r="I11" s="23"/>
      <c r="K11" s="22"/>
      <c r="L11" s="22"/>
      <c r="M11" s="5"/>
      <c r="N11" s="22"/>
    </row>
    <row r="12" spans="1:15" s="4" customFormat="1" ht="12" customHeight="1">
      <c r="A12" s="5" t="s">
        <v>29</v>
      </c>
      <c r="B12" s="5" t="s">
        <v>30</v>
      </c>
      <c r="C12" s="20">
        <v>14.4</v>
      </c>
      <c r="D12" s="20">
        <v>14.43</v>
      </c>
      <c r="E12" s="20"/>
      <c r="F12" s="21">
        <v>345.63</v>
      </c>
      <c r="G12" s="21">
        <v>353.51</v>
      </c>
      <c r="H12" s="21"/>
      <c r="I12" s="23">
        <f t="shared" ref="I12:I31" si="0">SUM(F12:H12)</f>
        <v>699.14</v>
      </c>
      <c r="K12" s="22">
        <f>IFERROR((F12/$C12/6),0)</f>
        <v>4.0003472222222216</v>
      </c>
      <c r="L12" s="22">
        <f>IFERROR((G12/$D12/6),0)</f>
        <v>4.0830445830445834</v>
      </c>
      <c r="M12" s="91">
        <f>SUM(K12:L12)/2</f>
        <v>4.0416959026334025</v>
      </c>
      <c r="N12" s="22">
        <v>0</v>
      </c>
      <c r="O12" s="89">
        <f t="shared" ref="O12:O27" si="1">SUM(K12:L12)</f>
        <v>8.083391805266805</v>
      </c>
    </row>
    <row r="13" spans="1:15" s="4" customFormat="1" ht="12" customHeight="1">
      <c r="A13" s="5" t="s">
        <v>31</v>
      </c>
      <c r="B13" s="5" t="s">
        <v>32</v>
      </c>
      <c r="C13" s="20">
        <v>11.24</v>
      </c>
      <c r="D13" s="20">
        <v>11.25</v>
      </c>
      <c r="E13" s="20"/>
      <c r="F13" s="21">
        <v>269.76499999999999</v>
      </c>
      <c r="G13" s="21">
        <v>348.745</v>
      </c>
      <c r="H13" s="21"/>
      <c r="I13" s="23">
        <f t="shared" si="0"/>
        <v>618.51</v>
      </c>
      <c r="K13" s="22">
        <f t="shared" ref="K13:K21" si="2">IFERROR((F13/$C13/6),0)</f>
        <v>4.0000741399762747</v>
      </c>
      <c r="L13" s="22">
        <f t="shared" ref="L13:L21" si="3">IFERROR((G13/$D13/6),0)</f>
        <v>5.1665925925925924</v>
      </c>
      <c r="M13" s="91">
        <f t="shared" ref="M13:M21" si="4">SUM(K13:L13)/2</f>
        <v>4.5833333662844336</v>
      </c>
      <c r="N13" s="22">
        <v>0</v>
      </c>
      <c r="O13" s="89">
        <f t="shared" si="1"/>
        <v>9.1666667325688671</v>
      </c>
    </row>
    <row r="14" spans="1:15" s="4" customFormat="1" ht="12" customHeight="1">
      <c r="A14" s="5" t="s">
        <v>33</v>
      </c>
      <c r="B14" s="5" t="s">
        <v>34</v>
      </c>
      <c r="C14" s="20">
        <v>17.670000000000002</v>
      </c>
      <c r="D14" s="20">
        <v>17.71</v>
      </c>
      <c r="E14" s="20"/>
      <c r="F14" s="21">
        <v>47197.184999999998</v>
      </c>
      <c r="G14" s="21">
        <v>47350.06</v>
      </c>
      <c r="H14" s="21"/>
      <c r="I14" s="23">
        <f t="shared" si="0"/>
        <v>94547.244999999995</v>
      </c>
      <c r="K14" s="22">
        <f t="shared" si="2"/>
        <v>445.17246745896995</v>
      </c>
      <c r="L14" s="22">
        <f t="shared" si="3"/>
        <v>445.6056841709015</v>
      </c>
      <c r="M14" s="91">
        <f t="shared" si="4"/>
        <v>445.38907581493572</v>
      </c>
      <c r="N14" s="22">
        <v>0</v>
      </c>
      <c r="O14" s="89">
        <f t="shared" si="1"/>
        <v>890.77815162987145</v>
      </c>
    </row>
    <row r="15" spans="1:15" s="4" customFormat="1" ht="12" customHeight="1">
      <c r="A15" s="5" t="s">
        <v>35</v>
      </c>
      <c r="B15" s="5" t="s">
        <v>36</v>
      </c>
      <c r="C15" s="20">
        <v>24.95</v>
      </c>
      <c r="D15" s="20">
        <v>25.01</v>
      </c>
      <c r="E15" s="20"/>
      <c r="F15" s="21">
        <v>20588.535</v>
      </c>
      <c r="G15" s="21">
        <v>20243.719999999998</v>
      </c>
      <c r="H15" s="21"/>
      <c r="I15" s="23">
        <f t="shared" si="0"/>
        <v>40832.254999999997</v>
      </c>
      <c r="K15" s="22">
        <f t="shared" si="2"/>
        <v>137.53196392785571</v>
      </c>
      <c r="L15" s="22">
        <f t="shared" si="3"/>
        <v>134.90417166466744</v>
      </c>
      <c r="M15" s="91">
        <f t="shared" si="4"/>
        <v>136.21806779626158</v>
      </c>
      <c r="N15" s="22">
        <v>0</v>
      </c>
      <c r="O15" s="89">
        <f t="shared" si="1"/>
        <v>272.43613559252316</v>
      </c>
    </row>
    <row r="16" spans="1:15" s="4" customFormat="1" ht="12" customHeight="1">
      <c r="A16" s="5" t="s">
        <v>37</v>
      </c>
      <c r="B16" s="5" t="s">
        <v>38</v>
      </c>
      <c r="C16" s="20">
        <v>35.58</v>
      </c>
      <c r="D16" s="20">
        <v>35.68</v>
      </c>
      <c r="E16" s="20"/>
      <c r="F16" s="21">
        <v>426.95999999999992</v>
      </c>
      <c r="G16" s="21">
        <v>428.16</v>
      </c>
      <c r="H16" s="21"/>
      <c r="I16" s="23">
        <f t="shared" si="0"/>
        <v>855.11999999999989</v>
      </c>
      <c r="K16" s="22">
        <f t="shared" si="2"/>
        <v>1.9999999999999998</v>
      </c>
      <c r="L16" s="22">
        <f t="shared" si="3"/>
        <v>2</v>
      </c>
      <c r="M16" s="91">
        <f t="shared" si="4"/>
        <v>2</v>
      </c>
      <c r="N16" s="22">
        <v>0</v>
      </c>
      <c r="O16" s="89">
        <f t="shared" si="1"/>
        <v>4</v>
      </c>
    </row>
    <row r="17" spans="1:15" s="4" customFormat="1" ht="12" customHeight="1">
      <c r="A17" s="5" t="s">
        <v>39</v>
      </c>
      <c r="B17" s="5" t="s">
        <v>40</v>
      </c>
      <c r="C17" s="20">
        <v>26.62</v>
      </c>
      <c r="D17" s="20">
        <v>26.68</v>
      </c>
      <c r="E17" s="20"/>
      <c r="F17" s="21">
        <v>35786.605000000003</v>
      </c>
      <c r="G17" s="21">
        <v>37947.179999999993</v>
      </c>
      <c r="H17" s="21"/>
      <c r="I17" s="23">
        <f t="shared" si="0"/>
        <v>73733.785000000003</v>
      </c>
      <c r="K17" s="22">
        <f t="shared" si="2"/>
        <v>224.05838342098673</v>
      </c>
      <c r="L17" s="22">
        <f t="shared" si="3"/>
        <v>237.05134932533727</v>
      </c>
      <c r="M17" s="91">
        <f t="shared" si="4"/>
        <v>230.55486637316199</v>
      </c>
      <c r="N17" s="22">
        <f>M17*1</f>
        <v>230.55486637316199</v>
      </c>
      <c r="O17" s="89">
        <f t="shared" si="1"/>
        <v>461.10973274632397</v>
      </c>
    </row>
    <row r="18" spans="1:15" s="4" customFormat="1" ht="12" customHeight="1">
      <c r="A18" s="5" t="s">
        <v>41</v>
      </c>
      <c r="B18" s="5" t="s">
        <v>42</v>
      </c>
      <c r="C18" s="20">
        <f>C17*2</f>
        <v>53.24</v>
      </c>
      <c r="D18" s="20">
        <v>53.36</v>
      </c>
      <c r="E18" s="20"/>
      <c r="F18" s="21">
        <v>319.44</v>
      </c>
      <c r="G18" s="21">
        <v>320.04000000000002</v>
      </c>
      <c r="H18" s="21"/>
      <c r="I18" s="23">
        <f t="shared" si="0"/>
        <v>639.48</v>
      </c>
      <c r="K18" s="22">
        <f t="shared" si="2"/>
        <v>1</v>
      </c>
      <c r="L18" s="22">
        <f t="shared" si="3"/>
        <v>0.99962518740629702</v>
      </c>
      <c r="M18" s="91">
        <f t="shared" si="4"/>
        <v>0.99981259370314857</v>
      </c>
      <c r="N18" s="22">
        <f>+M18*2</f>
        <v>1.9996251874062971</v>
      </c>
      <c r="O18" s="89">
        <f t="shared" si="1"/>
        <v>1.9996251874062971</v>
      </c>
    </row>
    <row r="19" spans="1:15" s="4" customFormat="1" ht="12" customHeight="1">
      <c r="A19" s="5" t="s">
        <v>43</v>
      </c>
      <c r="B19" s="5" t="s">
        <v>44</v>
      </c>
      <c r="C19" s="20">
        <v>33.229999999999997</v>
      </c>
      <c r="D19" s="20">
        <v>33.32</v>
      </c>
      <c r="E19" s="20"/>
      <c r="F19" s="21">
        <v>60862.689999999995</v>
      </c>
      <c r="G19" s="21">
        <v>61656.76</v>
      </c>
      <c r="H19" s="21"/>
      <c r="I19" s="23">
        <f t="shared" si="0"/>
        <v>122519.45</v>
      </c>
      <c r="K19" s="22">
        <f t="shared" si="2"/>
        <v>305.25975524124789</v>
      </c>
      <c r="L19" s="22">
        <f t="shared" si="3"/>
        <v>308.40716286514606</v>
      </c>
      <c r="M19" s="91">
        <f t="shared" si="4"/>
        <v>306.83345905319698</v>
      </c>
      <c r="N19" s="22">
        <f>+M19*1</f>
        <v>306.83345905319698</v>
      </c>
      <c r="O19" s="89">
        <f t="shared" si="1"/>
        <v>613.66691810639395</v>
      </c>
    </row>
    <row r="20" spans="1:15" s="4" customFormat="1" ht="12" customHeight="1">
      <c r="A20" s="5" t="s">
        <v>45</v>
      </c>
      <c r="B20" s="5" t="s">
        <v>46</v>
      </c>
      <c r="C20" s="20">
        <f>C19*2</f>
        <v>66.459999999999994</v>
      </c>
      <c r="D20" s="20">
        <v>66.64</v>
      </c>
      <c r="E20" s="20"/>
      <c r="F20" s="21">
        <v>1595.1299999999999</v>
      </c>
      <c r="G20" s="21">
        <v>682.96999999999991</v>
      </c>
      <c r="H20" s="21"/>
      <c r="I20" s="23">
        <f t="shared" si="0"/>
        <v>2278.1</v>
      </c>
      <c r="K20" s="22">
        <f t="shared" si="2"/>
        <v>4.0002256996689738</v>
      </c>
      <c r="L20" s="22">
        <f t="shared" si="3"/>
        <v>1.7081082432973187</v>
      </c>
      <c r="M20" s="91">
        <f t="shared" si="4"/>
        <v>2.8541669714831461</v>
      </c>
      <c r="N20" s="22">
        <f>+M20*2</f>
        <v>5.7083339429662923</v>
      </c>
      <c r="O20" s="89">
        <f t="shared" si="1"/>
        <v>5.7083339429662923</v>
      </c>
    </row>
    <row r="21" spans="1:15" s="4" customFormat="1" ht="12" customHeight="1">
      <c r="A21" s="5" t="s">
        <v>47</v>
      </c>
      <c r="B21" s="5" t="s">
        <v>48</v>
      </c>
      <c r="C21" s="20">
        <f>C19*3</f>
        <v>99.69</v>
      </c>
      <c r="D21" s="20">
        <v>99.96</v>
      </c>
      <c r="E21" s="20"/>
      <c r="F21" s="21">
        <v>598.14</v>
      </c>
      <c r="G21" s="21">
        <v>749.7</v>
      </c>
      <c r="H21" s="21"/>
      <c r="I21" s="23">
        <f t="shared" si="0"/>
        <v>1347.8400000000001</v>
      </c>
      <c r="K21" s="22">
        <f t="shared" si="2"/>
        <v>1</v>
      </c>
      <c r="L21" s="22">
        <f t="shared" si="3"/>
        <v>1.2500000000000002</v>
      </c>
      <c r="M21" s="91">
        <f t="shared" si="4"/>
        <v>1.125</v>
      </c>
      <c r="N21" s="22">
        <f>+M21*3</f>
        <v>3.375</v>
      </c>
      <c r="O21" s="89">
        <f t="shared" si="1"/>
        <v>2.25</v>
      </c>
    </row>
    <row r="22" spans="1:15" s="4" customFormat="1" ht="12" customHeight="1">
      <c r="A22" s="5" t="s">
        <v>49</v>
      </c>
      <c r="B22" s="5" t="s">
        <v>50</v>
      </c>
      <c r="C22" s="20">
        <v>12.33</v>
      </c>
      <c r="D22" s="20">
        <v>12.34</v>
      </c>
      <c r="E22" s="20"/>
      <c r="F22" s="21">
        <v>0</v>
      </c>
      <c r="G22" s="21">
        <v>24.68</v>
      </c>
      <c r="H22" s="21"/>
      <c r="I22" s="23">
        <f t="shared" si="0"/>
        <v>24.68</v>
      </c>
      <c r="K22" s="22">
        <f t="shared" ref="K22:K27" si="5">IFERROR((F22/$C22/6),0)</f>
        <v>0</v>
      </c>
      <c r="L22" s="22">
        <f t="shared" ref="L22:L27" si="6">IFERROR((G22/$D22/6),0)</f>
        <v>0.33333333333333331</v>
      </c>
      <c r="M22" s="91">
        <f t="shared" ref="M22:M27" si="7">SUM(K22:L22)/2</f>
        <v>0.16666666666666666</v>
      </c>
      <c r="N22" s="22"/>
      <c r="O22" s="89">
        <f t="shared" si="1"/>
        <v>0.33333333333333331</v>
      </c>
    </row>
    <row r="23" spans="1:15" s="4" customFormat="1" ht="12" customHeight="1">
      <c r="A23" s="5" t="s">
        <v>51</v>
      </c>
      <c r="B23" s="5" t="s">
        <v>52</v>
      </c>
      <c r="C23" s="20">
        <v>4.2</v>
      </c>
      <c r="D23" s="20">
        <v>4.21</v>
      </c>
      <c r="E23" s="20"/>
      <c r="F23" s="21">
        <v>3089.17</v>
      </c>
      <c r="G23" s="21">
        <v>2974.6499999999996</v>
      </c>
      <c r="H23" s="21"/>
      <c r="I23" s="23">
        <f t="shared" si="0"/>
        <v>6063.82</v>
      </c>
      <c r="K23" s="22">
        <f t="shared" si="5"/>
        <v>122.58611111111111</v>
      </c>
      <c r="L23" s="22">
        <f t="shared" si="6"/>
        <v>117.76128266033253</v>
      </c>
      <c r="M23" s="91">
        <f t="shared" si="7"/>
        <v>120.17369688572182</v>
      </c>
      <c r="N23" s="22"/>
      <c r="O23" s="89">
        <f t="shared" si="1"/>
        <v>240.34739377144365</v>
      </c>
    </row>
    <row r="24" spans="1:15" s="4" customFormat="1" ht="12" customHeight="1">
      <c r="A24" s="5" t="s">
        <v>53</v>
      </c>
      <c r="B24" s="5" t="s">
        <v>54</v>
      </c>
      <c r="C24" s="20">
        <v>21.41</v>
      </c>
      <c r="D24" s="20">
        <v>21.45</v>
      </c>
      <c r="E24" s="20"/>
      <c r="F24" s="21">
        <v>256.93</v>
      </c>
      <c r="G24" s="21">
        <v>10.72</v>
      </c>
      <c r="H24" s="21"/>
      <c r="I24" s="23">
        <f t="shared" si="0"/>
        <v>267.65000000000003</v>
      </c>
      <c r="K24" s="22">
        <f t="shared" si="5"/>
        <v>2.0000778452436556</v>
      </c>
      <c r="L24" s="22">
        <f t="shared" si="6"/>
        <v>8.3294483294483301E-2</v>
      </c>
      <c r="M24" s="91">
        <f t="shared" si="7"/>
        <v>1.0416861642690693</v>
      </c>
      <c r="N24" s="22"/>
      <c r="O24" s="89">
        <f t="shared" si="1"/>
        <v>2.0833723285381387</v>
      </c>
    </row>
    <row r="25" spans="1:15" s="2" customFormat="1" ht="12" customHeight="1">
      <c r="A25" s="5" t="s">
        <v>55</v>
      </c>
      <c r="B25" s="5" t="s">
        <v>56</v>
      </c>
      <c r="C25" s="20">
        <v>21.41</v>
      </c>
      <c r="D25" s="20">
        <v>21.45</v>
      </c>
      <c r="E25" s="20"/>
      <c r="F25" s="21">
        <v>0</v>
      </c>
      <c r="G25" s="21">
        <v>42.9</v>
      </c>
      <c r="H25" s="21"/>
      <c r="I25" s="23">
        <f t="shared" si="0"/>
        <v>42.9</v>
      </c>
      <c r="K25" s="22">
        <f t="shared" si="5"/>
        <v>0</v>
      </c>
      <c r="L25" s="22">
        <f t="shared" si="6"/>
        <v>0.33333333333333331</v>
      </c>
      <c r="M25" s="91">
        <f t="shared" si="7"/>
        <v>0.16666666666666666</v>
      </c>
      <c r="N25" s="22"/>
      <c r="O25" s="89">
        <f t="shared" si="1"/>
        <v>0.33333333333333331</v>
      </c>
    </row>
    <row r="26" spans="1:15" s="2" customFormat="1" ht="12" customHeight="1">
      <c r="A26" s="5" t="s">
        <v>57</v>
      </c>
      <c r="B26" s="5" t="s">
        <v>58</v>
      </c>
      <c r="C26" s="20">
        <v>4.2</v>
      </c>
      <c r="D26" s="20">
        <v>4.21</v>
      </c>
      <c r="E26" s="20"/>
      <c r="F26" s="21">
        <v>37.799999999999997</v>
      </c>
      <c r="G26" s="21">
        <v>46.31</v>
      </c>
      <c r="H26" s="21"/>
      <c r="I26" s="23">
        <f t="shared" si="0"/>
        <v>84.11</v>
      </c>
      <c r="K26" s="22">
        <f t="shared" si="5"/>
        <v>1.4999999999999998</v>
      </c>
      <c r="L26" s="22">
        <f t="shared" si="6"/>
        <v>1.8333333333333333</v>
      </c>
      <c r="M26" s="91">
        <f t="shared" si="7"/>
        <v>1.6666666666666665</v>
      </c>
      <c r="N26" s="22"/>
      <c r="O26" s="89">
        <f t="shared" si="1"/>
        <v>3.333333333333333</v>
      </c>
    </row>
    <row r="27" spans="1:15" s="4" customFormat="1" ht="12" customHeight="1">
      <c r="A27" s="5" t="s">
        <v>59</v>
      </c>
      <c r="B27" s="5" t="s">
        <v>60</v>
      </c>
      <c r="C27" s="20">
        <v>4.2</v>
      </c>
      <c r="D27" s="20">
        <v>4.21</v>
      </c>
      <c r="E27" s="20"/>
      <c r="F27" s="21">
        <v>50.400000000000006</v>
      </c>
      <c r="G27" s="21">
        <v>8.42</v>
      </c>
      <c r="H27" s="21"/>
      <c r="I27" s="23">
        <f t="shared" si="0"/>
        <v>58.820000000000007</v>
      </c>
      <c r="K27" s="22">
        <f t="shared" si="5"/>
        <v>2</v>
      </c>
      <c r="L27" s="22">
        <f t="shared" si="6"/>
        <v>0.33333333333333331</v>
      </c>
      <c r="M27" s="91">
        <f t="shared" si="7"/>
        <v>1.1666666666666667</v>
      </c>
      <c r="N27" s="22"/>
      <c r="O27" s="89">
        <f t="shared" si="1"/>
        <v>2.3333333333333335</v>
      </c>
    </row>
    <row r="28" spans="1:15" s="4" customFormat="1" ht="12" customHeight="1">
      <c r="A28" s="5" t="s">
        <v>507</v>
      </c>
      <c r="B28" s="5" t="s">
        <v>508</v>
      </c>
      <c r="C28" s="20">
        <v>6.63</v>
      </c>
      <c r="D28" s="20">
        <v>6.625</v>
      </c>
      <c r="E28" s="20"/>
      <c r="F28" s="21">
        <v>1608.2199999999998</v>
      </c>
      <c r="G28" s="21">
        <v>1555.4099999999999</v>
      </c>
      <c r="H28" s="21"/>
      <c r="I28" s="23">
        <f t="shared" ref="I28:I29" si="8">SUM(F28:H28)</f>
        <v>3163.6299999999997</v>
      </c>
      <c r="K28" s="22">
        <f t="shared" ref="K28:K31" si="9">IFERROR((F28/$C28/6),0)</f>
        <v>40.42785319255907</v>
      </c>
      <c r="L28" s="22">
        <f t="shared" ref="L28:L31" si="10">IFERROR((G28/$D28/6),0)</f>
        <v>39.129811320754712</v>
      </c>
      <c r="M28" s="91">
        <f t="shared" ref="M28:M31" si="11">SUM(K28:L28)/2</f>
        <v>39.778832256656891</v>
      </c>
      <c r="N28" s="22"/>
      <c r="O28" s="89">
        <f t="shared" ref="O28:O31" si="12">SUM(K28:L28)</f>
        <v>79.557664513313782</v>
      </c>
    </row>
    <row r="29" spans="1:15" s="4" customFormat="1" ht="12" customHeight="1">
      <c r="A29" s="5" t="s">
        <v>283</v>
      </c>
      <c r="B29" s="5" t="s">
        <v>284</v>
      </c>
      <c r="C29" s="20">
        <v>8.0299999999999994</v>
      </c>
      <c r="D29" s="20">
        <v>8.0299999999999994</v>
      </c>
      <c r="E29" s="20"/>
      <c r="F29" s="21">
        <v>8.0299999999999994</v>
      </c>
      <c r="G29" s="21">
        <v>0</v>
      </c>
      <c r="H29" s="21"/>
      <c r="I29" s="23">
        <f t="shared" si="8"/>
        <v>8.0299999999999994</v>
      </c>
      <c r="K29" s="22">
        <f t="shared" si="9"/>
        <v>0.16666666666666666</v>
      </c>
      <c r="L29" s="22">
        <f t="shared" si="10"/>
        <v>0</v>
      </c>
      <c r="M29" s="91">
        <f t="shared" si="11"/>
        <v>8.3333333333333329E-2</v>
      </c>
      <c r="N29" s="22"/>
      <c r="O29" s="89">
        <f t="shared" si="12"/>
        <v>0.16666666666666666</v>
      </c>
    </row>
    <row r="30" spans="1:15" s="2" customFormat="1" ht="12" customHeight="1">
      <c r="A30" s="5" t="s">
        <v>63</v>
      </c>
      <c r="B30" s="5" t="s">
        <v>64</v>
      </c>
      <c r="C30" s="20">
        <v>21.86</v>
      </c>
      <c r="D30" s="20">
        <v>21.86</v>
      </c>
      <c r="E30" s="20"/>
      <c r="F30" s="21">
        <v>21.86</v>
      </c>
      <c r="G30" s="21">
        <v>21.86</v>
      </c>
      <c r="H30" s="21"/>
      <c r="I30" s="23">
        <f t="shared" si="0"/>
        <v>43.72</v>
      </c>
      <c r="K30" s="22">
        <f t="shared" si="9"/>
        <v>0.16666666666666666</v>
      </c>
      <c r="L30" s="22">
        <f t="shared" si="10"/>
        <v>0.16666666666666666</v>
      </c>
      <c r="M30" s="91">
        <f t="shared" si="11"/>
        <v>0.16666666666666666</v>
      </c>
      <c r="N30" s="22"/>
      <c r="O30" s="89">
        <f t="shared" si="12"/>
        <v>0.33333333333333331</v>
      </c>
    </row>
    <row r="31" spans="1:15" s="2" customFormat="1" ht="12" customHeight="1">
      <c r="A31" s="5" t="s">
        <v>65</v>
      </c>
      <c r="B31" s="5" t="s">
        <v>66</v>
      </c>
      <c r="C31" s="20">
        <v>13.12</v>
      </c>
      <c r="D31" s="20">
        <v>13.12</v>
      </c>
      <c r="E31" s="20"/>
      <c r="F31" s="21">
        <v>262.39999999999998</v>
      </c>
      <c r="G31" s="21">
        <v>249.27999999999997</v>
      </c>
      <c r="H31" s="21"/>
      <c r="I31" s="23">
        <f t="shared" si="0"/>
        <v>511.67999999999995</v>
      </c>
      <c r="K31" s="22">
        <f t="shared" si="9"/>
        <v>3.3333333333333335</v>
      </c>
      <c r="L31" s="22">
        <f t="shared" si="10"/>
        <v>3.1666666666666665</v>
      </c>
      <c r="M31" s="91">
        <f t="shared" si="11"/>
        <v>3.25</v>
      </c>
      <c r="N31" s="22"/>
      <c r="O31" s="89">
        <f t="shared" si="12"/>
        <v>6.5</v>
      </c>
    </row>
    <row r="32" spans="1:15" s="4" customFormat="1" ht="12" customHeight="1" thickBot="1">
      <c r="A32" s="24"/>
      <c r="B32" s="24"/>
      <c r="C32" s="20"/>
      <c r="D32" s="20"/>
      <c r="E32" s="20"/>
      <c r="F32" s="22"/>
      <c r="G32" s="22"/>
      <c r="H32" s="22"/>
      <c r="I32" s="23"/>
      <c r="M32" s="5"/>
      <c r="N32" s="22"/>
    </row>
    <row r="33" spans="1:15" s="2" customFormat="1" ht="12" customHeight="1" thickBot="1">
      <c r="A33" s="25"/>
      <c r="B33" s="26" t="s">
        <v>8</v>
      </c>
      <c r="C33" s="20"/>
      <c r="D33" s="20"/>
      <c r="E33" s="20"/>
      <c r="F33" s="27">
        <f>SUM(F12:F32)</f>
        <v>173324.88999999998</v>
      </c>
      <c r="G33" s="27">
        <f>SUM(G12:G32)</f>
        <v>175015.07499999998</v>
      </c>
      <c r="H33" s="27"/>
      <c r="I33" s="27">
        <f>SUM(F33:H33)</f>
        <v>348339.96499999997</v>
      </c>
      <c r="K33" s="22"/>
      <c r="L33" s="22"/>
      <c r="M33" s="85">
        <f>SUM(M12:M21)</f>
        <v>1134.5994778716604</v>
      </c>
      <c r="N33" s="21"/>
    </row>
    <row r="34" spans="1:15" s="4" customFormat="1" ht="12" customHeight="1">
      <c r="C34" s="20"/>
      <c r="D34" s="20"/>
      <c r="E34" s="20"/>
      <c r="I34" s="23"/>
      <c r="K34" s="22"/>
      <c r="L34" s="22"/>
      <c r="M34" s="5"/>
      <c r="N34" s="22"/>
    </row>
    <row r="35" spans="1:15" ht="12" customHeight="1">
      <c r="A35" s="33" t="s">
        <v>11</v>
      </c>
      <c r="B35" s="33" t="s">
        <v>11</v>
      </c>
    </row>
    <row r="36" spans="1:15" ht="12" customHeight="1">
      <c r="A36" s="33"/>
      <c r="B36" s="33"/>
    </row>
    <row r="37" spans="1:15" s="4" customFormat="1">
      <c r="A37" s="19" t="s">
        <v>12</v>
      </c>
      <c r="B37" s="19" t="s">
        <v>12</v>
      </c>
      <c r="C37" s="20"/>
      <c r="D37" s="20"/>
      <c r="E37" s="20"/>
      <c r="I37" s="23"/>
      <c r="K37" s="22"/>
      <c r="L37" s="22"/>
      <c r="M37" s="5"/>
      <c r="N37" s="22"/>
    </row>
    <row r="38" spans="1:15" s="4" customFormat="1" ht="12" customHeight="1">
      <c r="A38" s="5" t="s">
        <v>67</v>
      </c>
      <c r="B38" s="5" t="s">
        <v>68</v>
      </c>
      <c r="C38" s="20">
        <v>71.959999999999994</v>
      </c>
      <c r="D38" s="20">
        <v>72.180000000000007</v>
      </c>
      <c r="E38" s="20"/>
      <c r="F38" s="21">
        <v>9804.5499999999993</v>
      </c>
      <c r="G38" s="21">
        <v>10863.100000000002</v>
      </c>
      <c r="H38" s="21"/>
      <c r="I38" s="23">
        <f t="shared" ref="I38:I77" si="13">SUM(F38:H38)</f>
        <v>20667.650000000001</v>
      </c>
      <c r="K38" s="22">
        <f t="shared" ref="K38" si="14">IFERROR((F38/$C38/6),0)</f>
        <v>22.708333333333332</v>
      </c>
      <c r="L38" s="22">
        <f t="shared" ref="L38" si="15">IFERROR((G38/$D38/6),0)</f>
        <v>25.083356423755429</v>
      </c>
      <c r="M38" s="91">
        <f t="shared" ref="M38" si="16">SUM(K38:L38)/2</f>
        <v>23.895844878544381</v>
      </c>
      <c r="N38" s="22">
        <f>M38*1</f>
        <v>23.895844878544381</v>
      </c>
      <c r="O38" s="89">
        <f>SUM(K38:L38)</f>
        <v>47.791689757088761</v>
      </c>
    </row>
    <row r="39" spans="1:15" s="4" customFormat="1" ht="12" customHeight="1">
      <c r="A39" s="5" t="s">
        <v>69</v>
      </c>
      <c r="B39" s="5" t="s">
        <v>70</v>
      </c>
      <c r="C39" s="20">
        <v>107.86</v>
      </c>
      <c r="D39" s="20">
        <v>108.16</v>
      </c>
      <c r="E39" s="20"/>
      <c r="F39" s="21">
        <v>7253.59</v>
      </c>
      <c r="G39" s="21">
        <v>6976.32</v>
      </c>
      <c r="H39" s="21"/>
      <c r="I39" s="23">
        <f t="shared" si="13"/>
        <v>14229.91</v>
      </c>
      <c r="K39" s="22">
        <f t="shared" ref="K39:K62" si="17">IFERROR((F39/$C39/6),0)</f>
        <v>11.208341059397986</v>
      </c>
      <c r="L39" s="22">
        <f t="shared" ref="L39:L62" si="18">IFERROR((G39/$D39/6),0)</f>
        <v>10.75</v>
      </c>
      <c r="M39" s="91">
        <f t="shared" ref="M39:M62" si="19">SUM(K39:L39)/2</f>
        <v>10.979170529698994</v>
      </c>
      <c r="N39" s="22">
        <f>M39*1</f>
        <v>10.979170529698994</v>
      </c>
      <c r="O39" s="89">
        <f t="shared" ref="O39:O62" si="20">SUM(K39:L39)</f>
        <v>21.958341059397988</v>
      </c>
    </row>
    <row r="40" spans="1:15" s="4" customFormat="1" ht="12" customHeight="1">
      <c r="A40" s="5" t="s">
        <v>71</v>
      </c>
      <c r="B40" s="5" t="s">
        <v>72</v>
      </c>
      <c r="C40" s="20">
        <v>215.72</v>
      </c>
      <c r="D40" s="20">
        <v>216.32</v>
      </c>
      <c r="E40" s="20"/>
      <c r="F40" s="21">
        <v>970.74</v>
      </c>
      <c r="G40" s="21">
        <v>486.57</v>
      </c>
      <c r="H40" s="21"/>
      <c r="I40" s="23">
        <f t="shared" si="13"/>
        <v>1457.31</v>
      </c>
      <c r="K40" s="22">
        <f t="shared" si="17"/>
        <v>0.75</v>
      </c>
      <c r="L40" s="22">
        <f t="shared" si="18"/>
        <v>0.37488443047337278</v>
      </c>
      <c r="M40" s="91">
        <f t="shared" si="19"/>
        <v>0.56244221523668636</v>
      </c>
      <c r="N40" s="22">
        <f>+M40*2</f>
        <v>1.1248844304733727</v>
      </c>
      <c r="O40" s="89">
        <f t="shared" si="20"/>
        <v>1.1248844304733727</v>
      </c>
    </row>
    <row r="41" spans="1:15" s="4" customFormat="1" ht="12" customHeight="1">
      <c r="A41" s="5" t="s">
        <v>173</v>
      </c>
      <c r="B41" s="5" t="s">
        <v>174</v>
      </c>
      <c r="C41" s="20">
        <v>323.58</v>
      </c>
      <c r="D41" s="20">
        <v>324.48</v>
      </c>
      <c r="E41" s="20"/>
      <c r="F41" s="21">
        <v>0</v>
      </c>
      <c r="G41" s="21">
        <v>648.96</v>
      </c>
      <c r="H41" s="21"/>
      <c r="I41" s="23">
        <f t="shared" ref="I41" si="21">SUM(F41:H41)</f>
        <v>648.96</v>
      </c>
      <c r="K41" s="22">
        <f t="shared" si="17"/>
        <v>0</v>
      </c>
      <c r="L41" s="22">
        <f t="shared" si="18"/>
        <v>0.33333333333333331</v>
      </c>
      <c r="M41" s="91">
        <f t="shared" si="19"/>
        <v>0.16666666666666666</v>
      </c>
      <c r="N41" s="22">
        <f>+M41*2</f>
        <v>0.33333333333333331</v>
      </c>
      <c r="O41" s="89">
        <f t="shared" ref="O41" si="22">SUM(K41:L41)</f>
        <v>0.33333333333333331</v>
      </c>
    </row>
    <row r="42" spans="1:15" s="4" customFormat="1" ht="12" customHeight="1">
      <c r="A42" s="5" t="s">
        <v>73</v>
      </c>
      <c r="B42" s="5" t="s">
        <v>74</v>
      </c>
      <c r="C42" s="20">
        <v>143.4</v>
      </c>
      <c r="D42" s="20">
        <v>143.80000000000001</v>
      </c>
      <c r="E42" s="20"/>
      <c r="F42" s="21">
        <v>7743.6</v>
      </c>
      <c r="G42" s="21">
        <v>7765.2</v>
      </c>
      <c r="H42" s="21"/>
      <c r="I42" s="23">
        <f t="shared" si="13"/>
        <v>15508.8</v>
      </c>
      <c r="K42" s="22">
        <f t="shared" si="17"/>
        <v>9</v>
      </c>
      <c r="L42" s="22">
        <f t="shared" si="18"/>
        <v>8.9999999999999982</v>
      </c>
      <c r="M42" s="91">
        <f t="shared" si="19"/>
        <v>9</v>
      </c>
      <c r="N42" s="22">
        <f>+M42</f>
        <v>9</v>
      </c>
      <c r="O42" s="89">
        <f t="shared" si="20"/>
        <v>18</v>
      </c>
    </row>
    <row r="43" spans="1:15" s="4" customFormat="1" ht="12" customHeight="1">
      <c r="A43" s="5" t="s">
        <v>75</v>
      </c>
      <c r="B43" s="5" t="s">
        <v>76</v>
      </c>
      <c r="C43" s="20">
        <v>201.34</v>
      </c>
      <c r="D43" s="20">
        <v>201.95</v>
      </c>
      <c r="E43" s="20"/>
      <c r="F43" s="21">
        <v>4379.1499999999996</v>
      </c>
      <c r="G43" s="21">
        <v>3635.1</v>
      </c>
      <c r="H43" s="21"/>
      <c r="I43" s="23">
        <f t="shared" si="13"/>
        <v>8014.25</v>
      </c>
      <c r="K43" s="22">
        <f t="shared" si="17"/>
        <v>3.6250041389357968</v>
      </c>
      <c r="L43" s="22">
        <f t="shared" si="18"/>
        <v>3</v>
      </c>
      <c r="M43" s="91">
        <f t="shared" si="19"/>
        <v>3.3125020694678984</v>
      </c>
      <c r="N43" s="22">
        <f>+M43</f>
        <v>3.3125020694678984</v>
      </c>
      <c r="O43" s="89">
        <f t="shared" si="20"/>
        <v>6.6250041389357968</v>
      </c>
    </row>
    <row r="44" spans="1:15" s="4" customFormat="1" ht="12" customHeight="1">
      <c r="A44" s="5" t="s">
        <v>77</v>
      </c>
      <c r="B44" s="5" t="s">
        <v>78</v>
      </c>
      <c r="C44" s="20">
        <v>402.69</v>
      </c>
      <c r="D44" s="20">
        <v>403.9</v>
      </c>
      <c r="E44" s="20"/>
      <c r="F44" s="21">
        <v>4832.28</v>
      </c>
      <c r="G44" s="21">
        <v>4846.8</v>
      </c>
      <c r="H44" s="21"/>
      <c r="I44" s="23">
        <f t="shared" si="13"/>
        <v>9679.08</v>
      </c>
      <c r="K44" s="22">
        <f t="shared" si="17"/>
        <v>2</v>
      </c>
      <c r="L44" s="22">
        <f t="shared" si="18"/>
        <v>2.0000000000000004</v>
      </c>
      <c r="M44" s="91">
        <f t="shared" si="19"/>
        <v>2</v>
      </c>
      <c r="N44" s="22">
        <f>+M44*2</f>
        <v>4</v>
      </c>
      <c r="O44" s="89">
        <f t="shared" si="20"/>
        <v>4</v>
      </c>
    </row>
    <row r="45" spans="1:15" s="4" customFormat="1" ht="12" customHeight="1">
      <c r="A45" s="5" t="s">
        <v>79</v>
      </c>
      <c r="B45" s="5" t="s">
        <v>80</v>
      </c>
      <c r="C45" s="20">
        <v>266.68</v>
      </c>
      <c r="D45" s="20">
        <v>267.45999999999998</v>
      </c>
      <c r="E45" s="20"/>
      <c r="F45" s="21">
        <v>8000.4</v>
      </c>
      <c r="G45" s="21">
        <v>8023.8</v>
      </c>
      <c r="H45" s="21"/>
      <c r="I45" s="23">
        <f t="shared" si="13"/>
        <v>16024.2</v>
      </c>
      <c r="K45" s="22">
        <f t="shared" si="17"/>
        <v>4.9999999999999991</v>
      </c>
      <c r="L45" s="22">
        <f t="shared" si="18"/>
        <v>5.0000000000000009</v>
      </c>
      <c r="M45" s="91">
        <f t="shared" si="19"/>
        <v>5</v>
      </c>
      <c r="N45" s="22">
        <f>+M45</f>
        <v>5</v>
      </c>
      <c r="O45" s="89">
        <f t="shared" si="20"/>
        <v>10</v>
      </c>
    </row>
    <row r="46" spans="1:15" s="4" customFormat="1" ht="12" customHeight="1">
      <c r="A46" s="5" t="s">
        <v>81</v>
      </c>
      <c r="B46" s="5" t="s">
        <v>82</v>
      </c>
      <c r="C46" s="20">
        <v>533.36</v>
      </c>
      <c r="D46" s="20">
        <v>534.91999999999996</v>
      </c>
      <c r="E46" s="20"/>
      <c r="F46" s="21">
        <v>3200.1600000000003</v>
      </c>
      <c r="G46" s="21">
        <v>3209.52</v>
      </c>
      <c r="H46" s="21"/>
      <c r="I46" s="23">
        <f t="shared" si="13"/>
        <v>6409.68</v>
      </c>
      <c r="K46" s="22">
        <f t="shared" si="17"/>
        <v>1</v>
      </c>
      <c r="L46" s="22">
        <f t="shared" si="18"/>
        <v>1</v>
      </c>
      <c r="M46" s="91">
        <f t="shared" si="19"/>
        <v>1</v>
      </c>
      <c r="N46" s="22">
        <f>+M46*2</f>
        <v>2</v>
      </c>
      <c r="O46" s="89">
        <f t="shared" si="20"/>
        <v>2</v>
      </c>
    </row>
    <row r="47" spans="1:15" s="4" customFormat="1" ht="12" customHeight="1">
      <c r="A47" s="5" t="s">
        <v>85</v>
      </c>
      <c r="B47" s="5" t="s">
        <v>86</v>
      </c>
      <c r="C47" s="20">
        <v>773.94</v>
      </c>
      <c r="D47" s="20">
        <v>776.1</v>
      </c>
      <c r="E47" s="20"/>
      <c r="F47" s="21">
        <v>4643.6400000000003</v>
      </c>
      <c r="G47" s="21">
        <v>4656.6000000000004</v>
      </c>
      <c r="H47" s="21"/>
      <c r="I47" s="23">
        <f t="shared" si="13"/>
        <v>9300.2400000000016</v>
      </c>
      <c r="K47" s="22">
        <f t="shared" si="17"/>
        <v>1</v>
      </c>
      <c r="L47" s="22">
        <f t="shared" si="18"/>
        <v>1</v>
      </c>
      <c r="M47" s="91">
        <f t="shared" si="19"/>
        <v>1</v>
      </c>
      <c r="N47" s="22">
        <f>+M47*2</f>
        <v>2</v>
      </c>
      <c r="O47" s="89">
        <f t="shared" si="20"/>
        <v>2</v>
      </c>
    </row>
    <row r="48" spans="1:15" s="4" customFormat="1" ht="12" customHeight="1">
      <c r="A48" s="5" t="s">
        <v>87</v>
      </c>
      <c r="B48" s="5" t="s">
        <v>88</v>
      </c>
      <c r="C48" s="20">
        <v>18.100000000000001</v>
      </c>
      <c r="D48" s="20">
        <v>18.14</v>
      </c>
      <c r="E48" s="20"/>
      <c r="F48" s="21">
        <v>1303.2</v>
      </c>
      <c r="G48" s="21">
        <v>1124.6999999999998</v>
      </c>
      <c r="H48" s="21"/>
      <c r="I48" s="23">
        <f t="shared" si="13"/>
        <v>2427.8999999999996</v>
      </c>
      <c r="K48" s="22">
        <f t="shared" si="17"/>
        <v>12</v>
      </c>
      <c r="L48" s="22">
        <f t="shared" si="18"/>
        <v>10.333517089305401</v>
      </c>
      <c r="M48" s="91">
        <f t="shared" si="19"/>
        <v>11.166758544652701</v>
      </c>
      <c r="N48" s="22">
        <v>0</v>
      </c>
      <c r="O48" s="89">
        <f t="shared" si="20"/>
        <v>22.333517089305403</v>
      </c>
    </row>
    <row r="49" spans="1:15" s="4" customFormat="1" ht="12" customHeight="1">
      <c r="A49" s="5" t="s">
        <v>89</v>
      </c>
      <c r="B49" s="5" t="s">
        <v>90</v>
      </c>
      <c r="C49" s="20">
        <v>34.72</v>
      </c>
      <c r="D49" s="20">
        <v>34.81</v>
      </c>
      <c r="E49" s="20"/>
      <c r="F49" s="21">
        <v>416.64</v>
      </c>
      <c r="G49" s="21">
        <v>313.29000000000002</v>
      </c>
      <c r="H49" s="21"/>
      <c r="I49" s="23">
        <f t="shared" si="13"/>
        <v>729.93000000000006</v>
      </c>
      <c r="K49" s="22">
        <f t="shared" si="17"/>
        <v>2</v>
      </c>
      <c r="L49" s="22">
        <f t="shared" si="18"/>
        <v>1.5</v>
      </c>
      <c r="M49" s="91">
        <f t="shared" si="19"/>
        <v>1.75</v>
      </c>
      <c r="N49" s="22">
        <v>0</v>
      </c>
      <c r="O49" s="89">
        <f t="shared" si="20"/>
        <v>3.5</v>
      </c>
    </row>
    <row r="50" spans="1:15" s="4" customFormat="1" ht="12" customHeight="1">
      <c r="A50" s="5" t="s">
        <v>91</v>
      </c>
      <c r="B50" s="5" t="s">
        <v>92</v>
      </c>
      <c r="C50" s="20">
        <v>33.99</v>
      </c>
      <c r="D50" s="20">
        <v>34.03</v>
      </c>
      <c r="E50" s="20"/>
      <c r="F50" s="21">
        <v>815.7600000000001</v>
      </c>
      <c r="G50" s="21">
        <v>850.75</v>
      </c>
      <c r="H50" s="21"/>
      <c r="I50" s="23">
        <f t="shared" si="13"/>
        <v>1666.5100000000002</v>
      </c>
      <c r="K50" s="22">
        <f t="shared" si="17"/>
        <v>4</v>
      </c>
      <c r="L50" s="22">
        <f t="shared" si="18"/>
        <v>4.166666666666667</v>
      </c>
      <c r="M50" s="91">
        <f t="shared" si="19"/>
        <v>4.0833333333333339</v>
      </c>
      <c r="N50" s="22">
        <f>+M50</f>
        <v>4.0833333333333339</v>
      </c>
      <c r="O50" s="89">
        <f t="shared" si="20"/>
        <v>8.1666666666666679</v>
      </c>
    </row>
    <row r="51" spans="1:15" s="4" customFormat="1" ht="12" customHeight="1">
      <c r="A51" s="5" t="s">
        <v>93</v>
      </c>
      <c r="B51" s="5" t="s">
        <v>94</v>
      </c>
      <c r="C51" s="20">
        <v>41.71</v>
      </c>
      <c r="D51" s="20">
        <v>41.8</v>
      </c>
      <c r="E51" s="20"/>
      <c r="F51" s="21">
        <v>1397.29</v>
      </c>
      <c r="G51" s="21">
        <v>1342.8300000000002</v>
      </c>
      <c r="H51" s="21"/>
      <c r="I51" s="23">
        <f t="shared" si="13"/>
        <v>2740.12</v>
      </c>
      <c r="K51" s="22">
        <f t="shared" si="17"/>
        <v>5.5833533125549417</v>
      </c>
      <c r="L51" s="22">
        <f t="shared" si="18"/>
        <v>5.3541866028708149</v>
      </c>
      <c r="M51" s="91">
        <f t="shared" si="19"/>
        <v>5.4687699577128779</v>
      </c>
      <c r="N51" s="22">
        <f>+M51</f>
        <v>5.4687699577128779</v>
      </c>
      <c r="O51" s="89">
        <f t="shared" si="20"/>
        <v>10.937539915425756</v>
      </c>
    </row>
    <row r="52" spans="1:15" s="4" customFormat="1" ht="12" customHeight="1">
      <c r="A52" s="5" t="s">
        <v>95</v>
      </c>
      <c r="B52" s="5" t="s">
        <v>96</v>
      </c>
      <c r="C52" s="20">
        <v>83.39</v>
      </c>
      <c r="D52" s="20">
        <v>83.57</v>
      </c>
      <c r="E52" s="20"/>
      <c r="F52" s="21">
        <v>0</v>
      </c>
      <c r="G52" s="21">
        <v>417.84999999999997</v>
      </c>
      <c r="H52" s="21"/>
      <c r="I52" s="23">
        <f t="shared" si="13"/>
        <v>417.84999999999997</v>
      </c>
      <c r="K52" s="22">
        <f t="shared" si="17"/>
        <v>0</v>
      </c>
      <c r="L52" s="22">
        <f t="shared" si="18"/>
        <v>0.83333333333333337</v>
      </c>
      <c r="M52" s="91">
        <f t="shared" si="19"/>
        <v>0.41666666666666669</v>
      </c>
      <c r="N52" s="22">
        <f>+M52*2</f>
        <v>0.83333333333333337</v>
      </c>
      <c r="O52" s="89">
        <f t="shared" si="20"/>
        <v>0.83333333333333337</v>
      </c>
    </row>
    <row r="53" spans="1:15" s="4" customFormat="1" ht="12" customHeight="1">
      <c r="A53" s="5" t="s">
        <v>103</v>
      </c>
      <c r="B53" s="5" t="s">
        <v>104</v>
      </c>
      <c r="C53" s="20">
        <v>11.53</v>
      </c>
      <c r="D53" s="20">
        <v>11.54</v>
      </c>
      <c r="E53" s="20"/>
      <c r="F53" s="21">
        <v>34.589999999999996</v>
      </c>
      <c r="G53" s="21">
        <v>23.08</v>
      </c>
      <c r="H53" s="21"/>
      <c r="I53" s="23">
        <f t="shared" si="13"/>
        <v>57.669999999999995</v>
      </c>
      <c r="K53" s="22">
        <f t="shared" si="17"/>
        <v>0.5</v>
      </c>
      <c r="L53" s="22">
        <f t="shared" si="18"/>
        <v>0.33333333333333331</v>
      </c>
      <c r="M53" s="91">
        <f t="shared" si="19"/>
        <v>0.41666666666666663</v>
      </c>
      <c r="N53" s="22">
        <v>0</v>
      </c>
      <c r="O53" s="89">
        <f t="shared" si="20"/>
        <v>0.83333333333333326</v>
      </c>
    </row>
    <row r="54" spans="1:15" s="4" customFormat="1" ht="12" customHeight="1">
      <c r="A54" s="5" t="s">
        <v>207</v>
      </c>
      <c r="B54" s="5" t="s">
        <v>208</v>
      </c>
      <c r="C54" s="20">
        <v>44.76</v>
      </c>
      <c r="D54" s="20">
        <v>44.81</v>
      </c>
      <c r="E54" s="20"/>
      <c r="F54" s="21">
        <v>44.76</v>
      </c>
      <c r="G54" s="21">
        <v>89.62</v>
      </c>
      <c r="H54" s="21"/>
      <c r="I54" s="23">
        <f t="shared" ref="I54" si="23">SUM(F54:H54)</f>
        <v>134.38</v>
      </c>
      <c r="K54" s="22">
        <f t="shared" si="17"/>
        <v>0.16666666666666666</v>
      </c>
      <c r="L54" s="22">
        <f t="shared" si="18"/>
        <v>0.33333333333333331</v>
      </c>
      <c r="M54" s="91">
        <f t="shared" si="19"/>
        <v>0.25</v>
      </c>
      <c r="N54" s="22">
        <f>M54</f>
        <v>0.25</v>
      </c>
      <c r="O54" s="89"/>
    </row>
    <row r="55" spans="1:15" s="4" customFormat="1" ht="12" customHeight="1">
      <c r="A55" s="5" t="s">
        <v>97</v>
      </c>
      <c r="B55" s="5" t="s">
        <v>98</v>
      </c>
      <c r="C55" s="20">
        <v>63.61</v>
      </c>
      <c r="D55" s="20">
        <v>63.68</v>
      </c>
      <c r="E55" s="20"/>
      <c r="F55" s="21">
        <v>190.82999999999998</v>
      </c>
      <c r="G55" s="21">
        <v>127.36</v>
      </c>
      <c r="H55" s="21"/>
      <c r="I55" s="23">
        <f t="shared" si="13"/>
        <v>318.19</v>
      </c>
      <c r="K55" s="22">
        <f t="shared" si="17"/>
        <v>0.49999999999999994</v>
      </c>
      <c r="L55" s="22">
        <f t="shared" si="18"/>
        <v>0.33333333333333331</v>
      </c>
      <c r="M55" s="91">
        <f t="shared" si="19"/>
        <v>0.41666666666666663</v>
      </c>
      <c r="N55" s="22">
        <f>M55</f>
        <v>0.41666666666666663</v>
      </c>
      <c r="O55" s="89">
        <f t="shared" si="20"/>
        <v>0.83333333333333326</v>
      </c>
    </row>
    <row r="56" spans="1:15" s="4" customFormat="1" ht="12" customHeight="1">
      <c r="A56" s="5" t="s">
        <v>209</v>
      </c>
      <c r="B56" s="5" t="s">
        <v>210</v>
      </c>
      <c r="C56" s="20">
        <v>20.37</v>
      </c>
      <c r="D56" s="20">
        <v>20.420000000000002</v>
      </c>
      <c r="E56" s="20"/>
      <c r="F56" s="21">
        <v>0</v>
      </c>
      <c r="G56" s="21">
        <v>20.420000000000002</v>
      </c>
      <c r="H56" s="21"/>
      <c r="I56" s="23">
        <f t="shared" ref="I56" si="24">SUM(F56:H56)</f>
        <v>20.420000000000002</v>
      </c>
      <c r="K56" s="22">
        <f t="shared" si="17"/>
        <v>0</v>
      </c>
      <c r="L56" s="22">
        <f t="shared" si="18"/>
        <v>0.16666666666666666</v>
      </c>
      <c r="M56" s="91">
        <f t="shared" si="19"/>
        <v>8.3333333333333329E-2</v>
      </c>
      <c r="N56" s="22">
        <f>M56</f>
        <v>8.3333333333333329E-2</v>
      </c>
      <c r="O56" s="89"/>
    </row>
    <row r="57" spans="1:15" s="4" customFormat="1" ht="12" customHeight="1">
      <c r="A57" s="5" t="s">
        <v>99</v>
      </c>
      <c r="B57" s="5" t="s">
        <v>100</v>
      </c>
      <c r="C57" s="20">
        <v>30.67</v>
      </c>
      <c r="D57" s="20">
        <v>30.74</v>
      </c>
      <c r="E57" s="20"/>
      <c r="F57" s="21">
        <v>30.67</v>
      </c>
      <c r="G57" s="21">
        <v>30.74</v>
      </c>
      <c r="H57" s="21"/>
      <c r="I57" s="23">
        <f t="shared" si="13"/>
        <v>61.41</v>
      </c>
      <c r="K57" s="22">
        <f t="shared" si="17"/>
        <v>0.16666666666666666</v>
      </c>
      <c r="L57" s="22">
        <f t="shared" si="18"/>
        <v>0.16666666666666666</v>
      </c>
      <c r="M57" s="91">
        <f t="shared" si="19"/>
        <v>0.16666666666666666</v>
      </c>
      <c r="N57" s="22">
        <f t="shared" ref="N57:N60" si="25">M57</f>
        <v>0.16666666666666666</v>
      </c>
      <c r="O57" s="89">
        <f t="shared" si="20"/>
        <v>0.33333333333333331</v>
      </c>
    </row>
    <row r="58" spans="1:15" s="4" customFormat="1" ht="12" customHeight="1">
      <c r="A58" s="5" t="s">
        <v>101</v>
      </c>
      <c r="B58" s="5" t="s">
        <v>102</v>
      </c>
      <c r="C58" s="20">
        <v>39.31</v>
      </c>
      <c r="D58" s="20">
        <v>39.4</v>
      </c>
      <c r="E58" s="20"/>
      <c r="F58" s="21">
        <v>314.48</v>
      </c>
      <c r="G58" s="21">
        <v>354.6</v>
      </c>
      <c r="H58" s="21"/>
      <c r="I58" s="23">
        <f t="shared" si="13"/>
        <v>669.08</v>
      </c>
      <c r="K58" s="22">
        <f t="shared" si="17"/>
        <v>1.3333333333333333</v>
      </c>
      <c r="L58" s="22">
        <f t="shared" si="18"/>
        <v>1.5000000000000002</v>
      </c>
      <c r="M58" s="91">
        <f t="shared" si="19"/>
        <v>1.4166666666666667</v>
      </c>
      <c r="N58" s="22">
        <f t="shared" si="25"/>
        <v>1.4166666666666667</v>
      </c>
      <c r="O58" s="89">
        <f t="shared" si="20"/>
        <v>2.8333333333333335</v>
      </c>
    </row>
    <row r="59" spans="1:15" s="4" customFormat="1" ht="12" customHeight="1">
      <c r="A59" s="5" t="s">
        <v>105</v>
      </c>
      <c r="B59" s="5" t="s">
        <v>106</v>
      </c>
      <c r="C59" s="20">
        <v>55.3</v>
      </c>
      <c r="D59" s="20">
        <v>55.44</v>
      </c>
      <c r="E59" s="20"/>
      <c r="F59" s="21">
        <v>55.3</v>
      </c>
      <c r="G59" s="21">
        <v>55.44</v>
      </c>
      <c r="H59" s="21"/>
      <c r="I59" s="23">
        <f t="shared" si="13"/>
        <v>110.74</v>
      </c>
      <c r="K59" s="22">
        <f t="shared" si="17"/>
        <v>0.16666666666666666</v>
      </c>
      <c r="L59" s="22">
        <f t="shared" si="18"/>
        <v>0.16666666666666666</v>
      </c>
      <c r="M59" s="91">
        <f t="shared" si="19"/>
        <v>0.16666666666666666</v>
      </c>
      <c r="N59" s="22">
        <f t="shared" si="25"/>
        <v>0.16666666666666666</v>
      </c>
      <c r="O59" s="89">
        <f t="shared" si="20"/>
        <v>0.33333333333333331</v>
      </c>
    </row>
    <row r="60" spans="1:15" s="4" customFormat="1" ht="12" customHeight="1">
      <c r="A60" s="5" t="s">
        <v>109</v>
      </c>
      <c r="B60" s="5" t="s">
        <v>110</v>
      </c>
      <c r="C60" s="20">
        <v>73.81</v>
      </c>
      <c r="D60" s="20">
        <v>73.989999999999995</v>
      </c>
      <c r="E60" s="20"/>
      <c r="F60" s="21">
        <v>738.09999999999991</v>
      </c>
      <c r="G60" s="21">
        <v>369.95</v>
      </c>
      <c r="H60" s="21"/>
      <c r="I60" s="23">
        <f t="shared" si="13"/>
        <v>1108.05</v>
      </c>
      <c r="K60" s="22">
        <f t="shared" si="17"/>
        <v>1.6666666666666663</v>
      </c>
      <c r="L60" s="22">
        <f t="shared" si="18"/>
        <v>0.83333333333333337</v>
      </c>
      <c r="M60" s="91">
        <f t="shared" si="19"/>
        <v>1.2499999999999998</v>
      </c>
      <c r="N60" s="22">
        <f t="shared" si="25"/>
        <v>1.2499999999999998</v>
      </c>
      <c r="O60" s="89">
        <f t="shared" si="20"/>
        <v>2.4999999999999996</v>
      </c>
    </row>
    <row r="61" spans="1:15" s="4" customFormat="1" ht="12" customHeight="1">
      <c r="A61" s="5" t="s">
        <v>111</v>
      </c>
      <c r="B61" s="5" t="s">
        <v>112</v>
      </c>
      <c r="C61" s="20">
        <v>4.01</v>
      </c>
      <c r="D61" s="20">
        <v>4.0199999999999996</v>
      </c>
      <c r="E61" s="20"/>
      <c r="F61" s="21">
        <v>1716.65</v>
      </c>
      <c r="G61" s="21">
        <v>1647.8600000000001</v>
      </c>
      <c r="H61" s="21"/>
      <c r="I61" s="23">
        <f t="shared" si="13"/>
        <v>3364.51</v>
      </c>
      <c r="K61" s="22">
        <f t="shared" si="17"/>
        <v>71.34871155444722</v>
      </c>
      <c r="L61" s="22">
        <f t="shared" si="18"/>
        <v>68.319237147595373</v>
      </c>
      <c r="M61" s="91">
        <f t="shared" si="19"/>
        <v>69.833974351021297</v>
      </c>
      <c r="N61" s="22"/>
      <c r="O61" s="89">
        <f t="shared" si="20"/>
        <v>139.66794870204259</v>
      </c>
    </row>
    <row r="62" spans="1:15" s="4" customFormat="1" ht="12" customHeight="1">
      <c r="A62" s="5" t="s">
        <v>113</v>
      </c>
      <c r="B62" s="5" t="s">
        <v>114</v>
      </c>
      <c r="C62" s="20">
        <v>21.41</v>
      </c>
      <c r="D62" s="20">
        <v>21.45</v>
      </c>
      <c r="E62" s="20"/>
      <c r="F62" s="21">
        <v>85.67</v>
      </c>
      <c r="G62" s="21">
        <v>117.94</v>
      </c>
      <c r="H62" s="21"/>
      <c r="I62" s="23">
        <f t="shared" si="13"/>
        <v>203.61</v>
      </c>
      <c r="K62" s="22">
        <f t="shared" si="17"/>
        <v>0.66690020239763348</v>
      </c>
      <c r="L62" s="22">
        <f t="shared" si="18"/>
        <v>0.91639471639471637</v>
      </c>
      <c r="M62" s="91">
        <f t="shared" si="19"/>
        <v>0.79164745939617487</v>
      </c>
      <c r="N62" s="22"/>
      <c r="O62" s="89">
        <f t="shared" si="20"/>
        <v>1.5832949187923497</v>
      </c>
    </row>
    <row r="63" spans="1:15" s="4" customFormat="1" ht="12" customHeight="1">
      <c r="A63" s="5" t="s">
        <v>115</v>
      </c>
      <c r="B63" s="5" t="s">
        <v>116</v>
      </c>
      <c r="C63" s="20">
        <v>12.15</v>
      </c>
      <c r="D63" s="20">
        <v>12.15</v>
      </c>
      <c r="E63" s="20"/>
      <c r="F63" s="21">
        <v>926.44999999999993</v>
      </c>
      <c r="G63" s="21">
        <v>886.96</v>
      </c>
      <c r="H63" s="21"/>
      <c r="I63" s="23">
        <f t="shared" si="13"/>
        <v>1813.4099999999999</v>
      </c>
      <c r="K63" s="22">
        <f t="shared" ref="K63:K77" si="26">IFERROR((F63/$C63/6),0)</f>
        <v>12.708504801097392</v>
      </c>
      <c r="L63" s="22">
        <f t="shared" ref="L63:L77" si="27">IFERROR((G63/$D63/6),0)</f>
        <v>12.166803840877916</v>
      </c>
      <c r="M63" s="91">
        <f t="shared" ref="M63:M77" si="28">SUM(K63:L63)/2</f>
        <v>12.437654320987654</v>
      </c>
      <c r="N63" s="22"/>
      <c r="O63" s="89">
        <f t="shared" ref="O63:O77" si="29">SUM(K63:L63)</f>
        <v>24.875308641975309</v>
      </c>
    </row>
    <row r="64" spans="1:15" s="4" customFormat="1" ht="12" customHeight="1">
      <c r="A64" s="5" t="s">
        <v>117</v>
      </c>
      <c r="B64" s="5" t="s">
        <v>118</v>
      </c>
      <c r="C64" s="20">
        <v>24.53</v>
      </c>
      <c r="D64" s="20">
        <v>24.53</v>
      </c>
      <c r="E64" s="20"/>
      <c r="F64" s="21">
        <v>122.65</v>
      </c>
      <c r="G64" s="21">
        <v>0</v>
      </c>
      <c r="H64" s="21"/>
      <c r="I64" s="23">
        <f t="shared" si="13"/>
        <v>122.65</v>
      </c>
      <c r="K64" s="22">
        <f t="shared" si="26"/>
        <v>0.83333333333333337</v>
      </c>
      <c r="L64" s="22">
        <f t="shared" si="27"/>
        <v>0</v>
      </c>
      <c r="M64" s="91">
        <f t="shared" si="28"/>
        <v>0.41666666666666669</v>
      </c>
      <c r="N64" s="22"/>
      <c r="O64" s="89">
        <f t="shared" si="29"/>
        <v>0.83333333333333337</v>
      </c>
    </row>
    <row r="65" spans="1:15" s="4" customFormat="1" ht="12" customHeight="1">
      <c r="A65" s="5" t="s">
        <v>119</v>
      </c>
      <c r="B65" s="5" t="s">
        <v>120</v>
      </c>
      <c r="C65" s="20">
        <v>10.11</v>
      </c>
      <c r="D65" s="20">
        <v>10.11</v>
      </c>
      <c r="E65" s="20"/>
      <c r="F65" s="21">
        <v>1342.1100000000001</v>
      </c>
      <c r="G65" s="21">
        <v>1521.56</v>
      </c>
      <c r="H65" s="21"/>
      <c r="I65" s="23">
        <f t="shared" si="13"/>
        <v>2863.67</v>
      </c>
      <c r="K65" s="22">
        <f t="shared" si="26"/>
        <v>22.125123639960439</v>
      </c>
      <c r="L65" s="22">
        <f t="shared" si="27"/>
        <v>25.083415759973622</v>
      </c>
      <c r="M65" s="91">
        <f t="shared" si="28"/>
        <v>23.604269699967031</v>
      </c>
      <c r="N65" s="22"/>
      <c r="O65" s="89">
        <f t="shared" si="29"/>
        <v>47.208539399934061</v>
      </c>
    </row>
    <row r="66" spans="1:15" s="4" customFormat="1" ht="12" customHeight="1">
      <c r="A66" s="5" t="s">
        <v>215</v>
      </c>
      <c r="B66" s="5" t="s">
        <v>216</v>
      </c>
      <c r="C66" s="20">
        <v>22.3</v>
      </c>
      <c r="D66" s="20">
        <v>22.3</v>
      </c>
      <c r="E66" s="20"/>
      <c r="F66" s="21">
        <v>0</v>
      </c>
      <c r="G66" s="21">
        <v>22.3</v>
      </c>
      <c r="H66" s="21"/>
      <c r="I66" s="23">
        <f t="shared" ref="I66" si="30">SUM(F66:H66)</f>
        <v>22.3</v>
      </c>
      <c r="K66" s="22">
        <f t="shared" si="26"/>
        <v>0</v>
      </c>
      <c r="L66" s="22">
        <f t="shared" si="27"/>
        <v>0.16666666666666666</v>
      </c>
      <c r="M66" s="91">
        <f t="shared" si="28"/>
        <v>8.3333333333333329E-2</v>
      </c>
      <c r="N66" s="22"/>
      <c r="O66" s="89">
        <f t="shared" si="29"/>
        <v>0.16666666666666666</v>
      </c>
    </row>
    <row r="67" spans="1:15" s="4" customFormat="1" ht="12" customHeight="1">
      <c r="A67" s="5" t="s">
        <v>121</v>
      </c>
      <c r="B67" s="5" t="s">
        <v>122</v>
      </c>
      <c r="C67" s="20">
        <v>16.690000000000001</v>
      </c>
      <c r="D67" s="20">
        <v>16.690000000000001</v>
      </c>
      <c r="E67" s="20"/>
      <c r="F67" s="21">
        <v>905.43000000000018</v>
      </c>
      <c r="G67" s="21">
        <v>901.2600000000001</v>
      </c>
      <c r="H67" s="21"/>
      <c r="I67" s="23">
        <f t="shared" si="13"/>
        <v>1806.6900000000003</v>
      </c>
      <c r="K67" s="22">
        <f t="shared" si="26"/>
        <v>9.0416417016177366</v>
      </c>
      <c r="L67" s="22">
        <f t="shared" si="27"/>
        <v>9</v>
      </c>
      <c r="M67" s="91">
        <f t="shared" si="28"/>
        <v>9.0208208508088674</v>
      </c>
      <c r="N67" s="22"/>
      <c r="O67" s="89">
        <f t="shared" si="29"/>
        <v>18.041641701617735</v>
      </c>
    </row>
    <row r="68" spans="1:15" s="4" customFormat="1" ht="12" customHeight="1">
      <c r="A68" s="5" t="s">
        <v>123</v>
      </c>
      <c r="B68" s="5" t="s">
        <v>124</v>
      </c>
      <c r="C68" s="20">
        <v>33.44</v>
      </c>
      <c r="D68" s="20">
        <v>33.44</v>
      </c>
      <c r="E68" s="20"/>
      <c r="F68" s="21">
        <v>171.66</v>
      </c>
      <c r="G68" s="21">
        <v>158.29</v>
      </c>
      <c r="H68" s="21"/>
      <c r="I68" s="23">
        <f t="shared" si="13"/>
        <v>329.95</v>
      </c>
      <c r="K68" s="22">
        <f t="shared" si="26"/>
        <v>0.8555622009569378</v>
      </c>
      <c r="L68" s="22">
        <f t="shared" si="27"/>
        <v>0.78892543859649134</v>
      </c>
      <c r="M68" s="91">
        <f t="shared" si="28"/>
        <v>0.82224381977671457</v>
      </c>
      <c r="N68" s="22"/>
      <c r="O68" s="89">
        <f t="shared" si="29"/>
        <v>1.6444876395534291</v>
      </c>
    </row>
    <row r="69" spans="1:15" s="4" customFormat="1" ht="12" customHeight="1">
      <c r="A69" s="5" t="s">
        <v>125</v>
      </c>
      <c r="B69" s="5" t="s">
        <v>126</v>
      </c>
      <c r="C69" s="20">
        <v>20.59</v>
      </c>
      <c r="D69" s="20">
        <v>20.59</v>
      </c>
      <c r="E69" s="20"/>
      <c r="F69" s="21">
        <v>941.99</v>
      </c>
      <c r="G69" s="21">
        <v>864.78</v>
      </c>
      <c r="H69" s="21"/>
      <c r="I69" s="23">
        <f t="shared" si="13"/>
        <v>1806.77</v>
      </c>
      <c r="K69" s="22">
        <f t="shared" si="26"/>
        <v>7.6249797636393071</v>
      </c>
      <c r="L69" s="22">
        <f t="shared" si="27"/>
        <v>7</v>
      </c>
      <c r="M69" s="91">
        <f t="shared" si="28"/>
        <v>7.3124898818196531</v>
      </c>
      <c r="N69" s="22"/>
      <c r="O69" s="89">
        <f t="shared" si="29"/>
        <v>14.624979763639306</v>
      </c>
    </row>
    <row r="70" spans="1:15" s="4" customFormat="1" ht="12" customHeight="1">
      <c r="A70" s="5" t="s">
        <v>217</v>
      </c>
      <c r="B70" s="5" t="s">
        <v>218</v>
      </c>
      <c r="C70" s="20">
        <v>40.130000000000003</v>
      </c>
      <c r="D70" s="20">
        <v>40.130000000000003</v>
      </c>
      <c r="E70" s="20"/>
      <c r="F70" s="21">
        <v>0</v>
      </c>
      <c r="G70" s="21">
        <v>40.130000000000003</v>
      </c>
      <c r="H70" s="21"/>
      <c r="I70" s="23">
        <f t="shared" si="13"/>
        <v>40.130000000000003</v>
      </c>
      <c r="K70" s="22">
        <f t="shared" si="26"/>
        <v>0</v>
      </c>
      <c r="L70" s="22">
        <f t="shared" si="27"/>
        <v>0.16666666666666666</v>
      </c>
      <c r="M70" s="91">
        <f t="shared" si="28"/>
        <v>8.3333333333333329E-2</v>
      </c>
      <c r="N70" s="22"/>
      <c r="O70" s="89">
        <f t="shared" si="29"/>
        <v>0.16666666666666666</v>
      </c>
    </row>
    <row r="71" spans="1:15" s="2" customFormat="1" ht="12" customHeight="1">
      <c r="A71" s="5" t="s">
        <v>127</v>
      </c>
      <c r="B71" s="5" t="s">
        <v>128</v>
      </c>
      <c r="C71" s="20">
        <v>23.32</v>
      </c>
      <c r="D71" s="20">
        <v>23.32</v>
      </c>
      <c r="E71" s="20"/>
      <c r="F71" s="21">
        <v>979.44</v>
      </c>
      <c r="G71" s="21">
        <v>979.44</v>
      </c>
      <c r="H71" s="21"/>
      <c r="I71" s="23">
        <f t="shared" si="13"/>
        <v>1958.88</v>
      </c>
      <c r="K71" s="22">
        <f t="shared" si="26"/>
        <v>7</v>
      </c>
      <c r="L71" s="22">
        <f t="shared" si="27"/>
        <v>7</v>
      </c>
      <c r="M71" s="91">
        <f t="shared" si="28"/>
        <v>7</v>
      </c>
      <c r="N71" s="22"/>
      <c r="O71" s="89">
        <f t="shared" si="29"/>
        <v>14</v>
      </c>
    </row>
    <row r="72" spans="1:15" s="4" customFormat="1" ht="12" customHeight="1">
      <c r="A72" s="5" t="s">
        <v>129</v>
      </c>
      <c r="B72" s="5" t="s">
        <v>130</v>
      </c>
      <c r="C72" s="20">
        <v>44.59</v>
      </c>
      <c r="D72" s="20">
        <v>44.59</v>
      </c>
      <c r="E72" s="20"/>
      <c r="F72" s="21">
        <v>214.03</v>
      </c>
      <c r="G72" s="21">
        <v>294.29000000000002</v>
      </c>
      <c r="H72" s="21"/>
      <c r="I72" s="23">
        <f t="shared" si="13"/>
        <v>508.32000000000005</v>
      </c>
      <c r="K72" s="22">
        <f t="shared" si="26"/>
        <v>0.79999252448232028</v>
      </c>
      <c r="L72" s="22">
        <f t="shared" si="27"/>
        <v>1.0999850489646408</v>
      </c>
      <c r="M72" s="91">
        <f t="shared" si="28"/>
        <v>0.94998878672348053</v>
      </c>
      <c r="N72" s="22"/>
      <c r="O72" s="89">
        <f t="shared" si="29"/>
        <v>1.8999775734469611</v>
      </c>
    </row>
    <row r="73" spans="1:15" s="4" customFormat="1" ht="12" customHeight="1">
      <c r="A73" s="5" t="s">
        <v>131</v>
      </c>
      <c r="B73" s="5" t="s">
        <v>132</v>
      </c>
      <c r="C73" s="20">
        <v>30.89</v>
      </c>
      <c r="D73" s="20">
        <v>30.89</v>
      </c>
      <c r="E73" s="20"/>
      <c r="F73" s="21">
        <v>370.67999999999995</v>
      </c>
      <c r="G73" s="21">
        <v>370.67999999999995</v>
      </c>
      <c r="H73" s="21"/>
      <c r="I73" s="23">
        <f t="shared" si="13"/>
        <v>741.3599999999999</v>
      </c>
      <c r="K73" s="22">
        <f t="shared" si="26"/>
        <v>1.9999999999999998</v>
      </c>
      <c r="L73" s="22">
        <f t="shared" si="27"/>
        <v>1.9999999999999998</v>
      </c>
      <c r="M73" s="91">
        <f t="shared" si="28"/>
        <v>1.9999999999999998</v>
      </c>
      <c r="N73" s="22"/>
      <c r="O73" s="89">
        <f t="shared" si="29"/>
        <v>3.9999999999999996</v>
      </c>
    </row>
    <row r="74" spans="1:15" s="4" customFormat="1" ht="12" customHeight="1">
      <c r="A74" s="5" t="s">
        <v>133</v>
      </c>
      <c r="B74" s="5" t="s">
        <v>134</v>
      </c>
      <c r="C74" s="20">
        <v>51.84</v>
      </c>
      <c r="D74" s="20">
        <v>51.84</v>
      </c>
      <c r="E74" s="20"/>
      <c r="F74" s="21">
        <v>311.04000000000008</v>
      </c>
      <c r="G74" s="21">
        <v>466.56000000000006</v>
      </c>
      <c r="H74" s="21"/>
      <c r="I74" s="23">
        <f t="shared" si="13"/>
        <v>777.60000000000014</v>
      </c>
      <c r="K74" s="22">
        <f t="shared" si="26"/>
        <v>1.0000000000000002</v>
      </c>
      <c r="L74" s="22">
        <f t="shared" si="27"/>
        <v>1.5</v>
      </c>
      <c r="M74" s="91">
        <f t="shared" si="28"/>
        <v>1.25</v>
      </c>
      <c r="N74" s="22"/>
      <c r="O74" s="89">
        <f t="shared" si="29"/>
        <v>2.5</v>
      </c>
    </row>
    <row r="75" spans="1:15" s="4" customFormat="1" ht="12" customHeight="1">
      <c r="A75" s="5" t="s">
        <v>135</v>
      </c>
      <c r="B75" s="5" t="s">
        <v>136</v>
      </c>
      <c r="C75" s="20">
        <v>3.46</v>
      </c>
      <c r="D75" s="20">
        <v>3.46</v>
      </c>
      <c r="E75" s="20"/>
      <c r="F75" s="21">
        <v>20.76</v>
      </c>
      <c r="G75" s="21">
        <v>20.76</v>
      </c>
      <c r="H75" s="21"/>
      <c r="I75" s="23">
        <f t="shared" si="13"/>
        <v>41.52</v>
      </c>
      <c r="K75" s="22">
        <f t="shared" si="26"/>
        <v>1.0000000000000002</v>
      </c>
      <c r="L75" s="22">
        <f t="shared" si="27"/>
        <v>1.0000000000000002</v>
      </c>
      <c r="M75" s="91">
        <f t="shared" si="28"/>
        <v>1.0000000000000002</v>
      </c>
      <c r="N75" s="22"/>
      <c r="O75" s="89">
        <f t="shared" si="29"/>
        <v>2.0000000000000004</v>
      </c>
    </row>
    <row r="76" spans="1:15" s="4" customFormat="1" ht="12" customHeight="1">
      <c r="A76" s="5" t="s">
        <v>503</v>
      </c>
      <c r="B76" s="5" t="s">
        <v>504</v>
      </c>
      <c r="C76" s="20">
        <v>6.62</v>
      </c>
      <c r="D76" s="20">
        <v>6.62</v>
      </c>
      <c r="E76" s="20"/>
      <c r="F76" s="21">
        <v>52.959999999999994</v>
      </c>
      <c r="G76" s="21">
        <v>39.72</v>
      </c>
      <c r="H76" s="21"/>
      <c r="I76" s="23">
        <f t="shared" ref="I76" si="31">SUM(F76:H76)</f>
        <v>92.679999999999993</v>
      </c>
      <c r="K76" s="22">
        <f t="shared" si="26"/>
        <v>1.3333333333333333</v>
      </c>
      <c r="L76" s="22">
        <f t="shared" si="27"/>
        <v>1</v>
      </c>
      <c r="M76" s="91">
        <f t="shared" si="28"/>
        <v>1.1666666666666665</v>
      </c>
      <c r="N76" s="22"/>
      <c r="O76" s="89">
        <f t="shared" si="29"/>
        <v>2.333333333333333</v>
      </c>
    </row>
    <row r="77" spans="1:15" s="4" customFormat="1" ht="12" customHeight="1">
      <c r="A77" s="5" t="s">
        <v>137</v>
      </c>
      <c r="B77" s="5" t="s">
        <v>138</v>
      </c>
      <c r="C77" s="20">
        <v>13.12</v>
      </c>
      <c r="D77" s="20">
        <v>13.12</v>
      </c>
      <c r="E77" s="20"/>
      <c r="F77" s="21">
        <v>13.12</v>
      </c>
      <c r="G77" s="21">
        <v>13.12</v>
      </c>
      <c r="H77" s="21"/>
      <c r="I77" s="23">
        <f t="shared" si="13"/>
        <v>26.24</v>
      </c>
      <c r="K77" s="22">
        <f t="shared" si="26"/>
        <v>0.16666666666666666</v>
      </c>
      <c r="L77" s="22">
        <f t="shared" si="27"/>
        <v>0.16666666666666666</v>
      </c>
      <c r="M77" s="91">
        <f t="shared" si="28"/>
        <v>0.16666666666666666</v>
      </c>
      <c r="N77" s="22"/>
      <c r="O77" s="89">
        <f t="shared" si="29"/>
        <v>0.33333333333333331</v>
      </c>
    </row>
    <row r="78" spans="1:15" s="4" customFormat="1" ht="12" customHeight="1" thickBot="1">
      <c r="A78" s="36"/>
      <c r="B78" s="36"/>
      <c r="C78" s="20"/>
      <c r="D78" s="20"/>
      <c r="E78" s="20"/>
      <c r="F78" s="22"/>
      <c r="G78" s="22"/>
      <c r="H78" s="22"/>
      <c r="I78" s="23"/>
      <c r="M78" s="5"/>
      <c r="N78" s="22"/>
    </row>
    <row r="79" spans="1:15" s="4" customFormat="1" ht="12" customHeight="1" thickBot="1">
      <c r="A79" s="36"/>
      <c r="B79" s="37" t="s">
        <v>13</v>
      </c>
      <c r="C79" s="20"/>
      <c r="D79" s="20"/>
      <c r="E79" s="20"/>
      <c r="F79" s="27">
        <f>SUM(F38:F78)</f>
        <v>64344.370000000017</v>
      </c>
      <c r="G79" s="27">
        <f>SUM(G38:G78)</f>
        <v>64578.250000000007</v>
      </c>
      <c r="H79" s="27"/>
      <c r="I79" s="27">
        <f>SUM(I38:I78)</f>
        <v>128922.62000000002</v>
      </c>
      <c r="M79" s="84">
        <f>SUM(M38:M52,M56:M60)</f>
        <v>82.885488195313542</v>
      </c>
      <c r="N79" s="22"/>
    </row>
    <row r="80" spans="1:15" ht="12" customHeight="1">
      <c r="A80" s="2"/>
      <c r="B80" s="2"/>
    </row>
    <row r="81" spans="1:15" ht="12" customHeight="1">
      <c r="A81" s="33" t="s">
        <v>16</v>
      </c>
      <c r="B81" s="33" t="s">
        <v>16</v>
      </c>
    </row>
    <row r="82" spans="1:15" ht="12" customHeight="1">
      <c r="A82" s="41"/>
      <c r="B82" s="41"/>
    </row>
    <row r="83" spans="1:15" ht="12" customHeight="1">
      <c r="A83" s="42" t="s">
        <v>17</v>
      </c>
      <c r="B83" s="42" t="s">
        <v>17</v>
      </c>
    </row>
    <row r="84" spans="1:15" ht="12" customHeight="1">
      <c r="A84" s="5" t="s">
        <v>139</v>
      </c>
      <c r="B84" s="5" t="s">
        <v>140</v>
      </c>
      <c r="C84" s="20">
        <v>245.35</v>
      </c>
      <c r="D84" s="20">
        <v>245.35</v>
      </c>
      <c r="F84" s="21">
        <v>3380.7999999999993</v>
      </c>
      <c r="G84" s="21">
        <v>3900.45</v>
      </c>
      <c r="H84" s="21"/>
      <c r="I84" s="23">
        <f t="shared" ref="I84:I91" si="32">SUM(F84:H84)</f>
        <v>7281.2499999999991</v>
      </c>
      <c r="J84" s="87"/>
      <c r="K84" s="22">
        <f t="shared" ref="K84:K91" si="33">IFERROR((F84/$C84/6),0)</f>
        <v>2.2965831125602878</v>
      </c>
      <c r="L84" s="22">
        <f t="shared" ref="L84:L91" si="34">IFERROR((G84/$D84/6),0)</f>
        <v>2.6495822294681068</v>
      </c>
      <c r="M84" s="91">
        <f t="shared" ref="M84:M91" si="35">SUM(K84:L84)/2</f>
        <v>2.4730826710141973</v>
      </c>
      <c r="N84" s="22"/>
      <c r="O84" s="89">
        <f t="shared" ref="O84:O91" si="36">SUM(K84:L84)</f>
        <v>4.9461653420283946</v>
      </c>
    </row>
    <row r="85" spans="1:15" ht="12" customHeight="1">
      <c r="A85" s="5" t="s">
        <v>141</v>
      </c>
      <c r="B85" s="5" t="s">
        <v>142</v>
      </c>
      <c r="C85" s="20">
        <v>227.87</v>
      </c>
      <c r="D85" s="20">
        <v>227.87</v>
      </c>
      <c r="F85" s="21">
        <v>2506.5699999999997</v>
      </c>
      <c r="G85" s="21">
        <v>2050.83</v>
      </c>
      <c r="H85" s="21"/>
      <c r="I85" s="23">
        <f t="shared" si="32"/>
        <v>4557.3999999999996</v>
      </c>
      <c r="K85" s="22">
        <f t="shared" si="33"/>
        <v>1.833333333333333</v>
      </c>
      <c r="L85" s="22">
        <f t="shared" si="34"/>
        <v>1.5</v>
      </c>
      <c r="M85" s="91">
        <f t="shared" si="35"/>
        <v>1.6666666666666665</v>
      </c>
      <c r="N85" s="22"/>
      <c r="O85" s="89">
        <f t="shared" si="36"/>
        <v>3.333333333333333</v>
      </c>
    </row>
    <row r="86" spans="1:15" ht="12" customHeight="1">
      <c r="A86" s="5" t="s">
        <v>143</v>
      </c>
      <c r="B86" s="5" t="s">
        <v>144</v>
      </c>
      <c r="C86" s="20">
        <v>338.35</v>
      </c>
      <c r="D86" s="20">
        <v>338.35</v>
      </c>
      <c r="F86" s="21">
        <v>338.35</v>
      </c>
      <c r="G86" s="21">
        <v>1691.75</v>
      </c>
      <c r="H86" s="21"/>
      <c r="I86" s="23">
        <f t="shared" si="32"/>
        <v>2030.1</v>
      </c>
      <c r="K86" s="22">
        <f t="shared" si="33"/>
        <v>0.16666666666666666</v>
      </c>
      <c r="L86" s="22">
        <f t="shared" si="34"/>
        <v>0.83333333333333337</v>
      </c>
      <c r="M86" s="91">
        <f t="shared" si="35"/>
        <v>0.5</v>
      </c>
      <c r="N86" s="22"/>
      <c r="O86" s="89">
        <f t="shared" si="36"/>
        <v>1</v>
      </c>
    </row>
    <row r="87" spans="1:15" ht="12" customHeight="1">
      <c r="A87" s="5" t="s">
        <v>145</v>
      </c>
      <c r="B87" s="5" t="s">
        <v>146</v>
      </c>
      <c r="C87" s="20">
        <v>212.02</v>
      </c>
      <c r="D87" s="20">
        <v>212.02</v>
      </c>
      <c r="F87" s="21">
        <v>636.06000000000006</v>
      </c>
      <c r="G87" s="21">
        <v>848.08</v>
      </c>
      <c r="H87" s="21"/>
      <c r="I87" s="23">
        <f t="shared" si="32"/>
        <v>1484.14</v>
      </c>
      <c r="K87" s="22">
        <f t="shared" si="33"/>
        <v>0.5</v>
      </c>
      <c r="L87" s="22">
        <f t="shared" si="34"/>
        <v>0.66666666666666663</v>
      </c>
      <c r="M87" s="91">
        <f t="shared" si="35"/>
        <v>0.58333333333333326</v>
      </c>
      <c r="N87" s="22"/>
      <c r="O87" s="89">
        <f t="shared" si="36"/>
        <v>1.1666666666666665</v>
      </c>
    </row>
    <row r="88" spans="1:15" ht="12" customHeight="1">
      <c r="A88" s="5" t="s">
        <v>147</v>
      </c>
      <c r="B88" s="5" t="s">
        <v>148</v>
      </c>
      <c r="C88" s="20">
        <v>96.3</v>
      </c>
      <c r="D88" s="20">
        <v>96.3</v>
      </c>
      <c r="F88" s="21">
        <v>426.93</v>
      </c>
      <c r="G88" s="21">
        <v>606.69000000000005</v>
      </c>
      <c r="H88" s="21"/>
      <c r="I88" s="23">
        <f t="shared" si="32"/>
        <v>1033.6200000000001</v>
      </c>
      <c r="K88" s="22">
        <f t="shared" si="33"/>
        <v>0.73888888888888893</v>
      </c>
      <c r="L88" s="22">
        <f t="shared" si="34"/>
        <v>1.05</v>
      </c>
      <c r="M88" s="91">
        <f t="shared" si="35"/>
        <v>0.89444444444444449</v>
      </c>
      <c r="N88" s="22"/>
      <c r="O88" s="89">
        <f t="shared" si="36"/>
        <v>1.788888888888889</v>
      </c>
    </row>
    <row r="89" spans="1:15" ht="12" customHeight="1">
      <c r="A89" s="5" t="s">
        <v>149</v>
      </c>
      <c r="B89" s="5" t="s">
        <v>150</v>
      </c>
      <c r="C89" s="20">
        <v>120.3</v>
      </c>
      <c r="D89" s="20">
        <v>120.3</v>
      </c>
      <c r="F89" s="21">
        <v>60.15</v>
      </c>
      <c r="G89" s="21">
        <v>100.25</v>
      </c>
      <c r="H89" s="21"/>
      <c r="I89" s="23">
        <f t="shared" si="32"/>
        <v>160.4</v>
      </c>
      <c r="K89" s="22">
        <f t="shared" si="33"/>
        <v>8.3333333333333329E-2</v>
      </c>
      <c r="L89" s="22">
        <f t="shared" si="34"/>
        <v>0.1388888888888889</v>
      </c>
      <c r="M89" s="91">
        <f t="shared" si="35"/>
        <v>0.1111111111111111</v>
      </c>
      <c r="N89" s="22"/>
      <c r="O89" s="89">
        <f t="shared" si="36"/>
        <v>0.22222222222222221</v>
      </c>
    </row>
    <row r="90" spans="1:15" ht="12" customHeight="1">
      <c r="A90" s="5" t="s">
        <v>151</v>
      </c>
      <c r="B90" s="5" t="s">
        <v>152</v>
      </c>
      <c r="C90" s="20">
        <v>72.55</v>
      </c>
      <c r="D90" s="20">
        <v>72.55</v>
      </c>
      <c r="F90" s="21">
        <v>507.84999999999997</v>
      </c>
      <c r="G90" s="21">
        <v>870.6</v>
      </c>
      <c r="H90" s="21"/>
      <c r="I90" s="23">
        <f t="shared" si="32"/>
        <v>1378.45</v>
      </c>
      <c r="K90" s="22">
        <f t="shared" si="33"/>
        <v>1.1666666666666667</v>
      </c>
      <c r="L90" s="22">
        <f t="shared" si="34"/>
        <v>2</v>
      </c>
      <c r="M90" s="91">
        <f t="shared" si="35"/>
        <v>1.5833333333333335</v>
      </c>
      <c r="N90" s="22"/>
      <c r="O90" s="89">
        <f t="shared" si="36"/>
        <v>3.166666666666667</v>
      </c>
    </row>
    <row r="91" spans="1:15" ht="12" customHeight="1">
      <c r="A91" s="5" t="s">
        <v>153</v>
      </c>
      <c r="B91" s="5" t="s">
        <v>154</v>
      </c>
      <c r="C91" s="20">
        <v>5.26</v>
      </c>
      <c r="D91" s="20">
        <v>5.26</v>
      </c>
      <c r="F91" s="21">
        <v>2945.5999999999995</v>
      </c>
      <c r="G91" s="21">
        <v>3329.58</v>
      </c>
      <c r="H91" s="21"/>
      <c r="I91" s="23">
        <f t="shared" si="32"/>
        <v>6275.1799999999994</v>
      </c>
      <c r="K91" s="22">
        <f t="shared" si="33"/>
        <v>93.333333333333314</v>
      </c>
      <c r="L91" s="22">
        <f t="shared" si="34"/>
        <v>105.5</v>
      </c>
      <c r="M91" s="91">
        <f t="shared" si="35"/>
        <v>99.416666666666657</v>
      </c>
      <c r="N91" s="22"/>
      <c r="O91" s="89">
        <f t="shared" si="36"/>
        <v>198.83333333333331</v>
      </c>
    </row>
    <row r="92" spans="1:15" ht="12" customHeight="1" thickBot="1">
      <c r="A92" s="25"/>
      <c r="B92" s="25"/>
    </row>
    <row r="93" spans="1:15" ht="12" customHeight="1" thickBot="1">
      <c r="A93" s="25"/>
      <c r="B93" s="40" t="s">
        <v>18</v>
      </c>
      <c r="F93" s="27">
        <f>SUM(F84:F92)</f>
        <v>10802.31</v>
      </c>
      <c r="G93" s="27">
        <f>SUM(G84:G92)</f>
        <v>13398.230000000001</v>
      </c>
      <c r="H93" s="27"/>
      <c r="I93" s="27">
        <f>SUM(I84:I92)</f>
        <v>24200.54</v>
      </c>
      <c r="M93" s="84">
        <f>SUM(M84:M92)</f>
        <v>107.22863822656974</v>
      </c>
    </row>
    <row r="94" spans="1:15" ht="12" customHeight="1">
      <c r="A94" s="25"/>
      <c r="B94" s="40"/>
      <c r="F94" s="43"/>
      <c r="G94" s="43"/>
      <c r="H94" s="43"/>
      <c r="I94" s="43"/>
    </row>
    <row r="95" spans="1:15" s="4" customFormat="1" ht="12" customHeight="1">
      <c r="A95" s="44" t="s">
        <v>19</v>
      </c>
      <c r="B95" s="44" t="s">
        <v>19</v>
      </c>
      <c r="C95" s="45"/>
      <c r="D95" s="45"/>
      <c r="E95" s="29"/>
      <c r="F95" s="21"/>
      <c r="G95" s="21"/>
      <c r="N95" s="22"/>
    </row>
    <row r="96" spans="1:15" s="4" customFormat="1" ht="12" customHeight="1">
      <c r="A96" s="46" t="s">
        <v>155</v>
      </c>
      <c r="B96" s="46" t="s">
        <v>156</v>
      </c>
      <c r="C96" s="20" t="e">
        <v>#N/A</v>
      </c>
      <c r="D96" s="20" t="e">
        <v>#N/A</v>
      </c>
      <c r="E96" s="20"/>
      <c r="F96" s="21">
        <v>2025</v>
      </c>
      <c r="G96" s="21">
        <v>2000</v>
      </c>
      <c r="H96" s="21"/>
      <c r="I96" s="23">
        <f>SUM(F96:H96)</f>
        <v>4025</v>
      </c>
      <c r="K96" s="22">
        <f>IFERROR(F96/$C96,0)</f>
        <v>0</v>
      </c>
      <c r="L96" s="22">
        <f>IFERROR(G96/$C96,0)</f>
        <v>0</v>
      </c>
      <c r="N96" s="22"/>
    </row>
    <row r="97" spans="1:14" s="4" customFormat="1" ht="12" customHeight="1">
      <c r="A97" s="5"/>
      <c r="B97" s="5"/>
      <c r="C97" s="20"/>
      <c r="D97" s="20"/>
      <c r="E97" s="20"/>
      <c r="F97" s="21"/>
      <c r="G97" s="21"/>
      <c r="N97" s="22"/>
    </row>
    <row r="98" spans="1:14" s="4" customFormat="1" ht="12" customHeight="1">
      <c r="A98" s="5"/>
      <c r="B98" s="26" t="s">
        <v>20</v>
      </c>
      <c r="C98" s="20"/>
      <c r="D98" s="20"/>
      <c r="E98" s="20"/>
      <c r="F98" s="27">
        <f t="shared" ref="F98:I98" si="37">SUM(F96:F97)</f>
        <v>2025</v>
      </c>
      <c r="G98" s="27">
        <f t="shared" si="37"/>
        <v>2000</v>
      </c>
      <c r="H98" s="27"/>
      <c r="I98" s="27">
        <f t="shared" si="37"/>
        <v>4025</v>
      </c>
      <c r="N98" s="22"/>
    </row>
    <row r="99" spans="1:14" ht="12" customHeight="1">
      <c r="A99" s="25"/>
      <c r="B99" s="25"/>
    </row>
    <row r="100" spans="1:14" ht="12" customHeight="1">
      <c r="A100" s="42" t="s">
        <v>21</v>
      </c>
      <c r="B100" s="42" t="s">
        <v>21</v>
      </c>
    </row>
    <row r="101" spans="1:14" ht="12" customHeight="1">
      <c r="A101" s="16" t="s">
        <v>157</v>
      </c>
      <c r="B101" s="16" t="s">
        <v>158</v>
      </c>
      <c r="F101" s="21">
        <v>10472.92</v>
      </c>
      <c r="G101" s="21">
        <v>13518.560000000001</v>
      </c>
      <c r="H101" s="21"/>
      <c r="I101" s="23">
        <f>SUM(F101:H101)</f>
        <v>23991.480000000003</v>
      </c>
    </row>
    <row r="102" spans="1:14" ht="12" customHeight="1">
      <c r="I102" s="39"/>
    </row>
    <row r="103" spans="1:14" ht="12" customHeight="1">
      <c r="A103" s="25"/>
      <c r="B103" s="40" t="s">
        <v>22</v>
      </c>
      <c r="F103" s="27">
        <f t="shared" ref="F103:I103" si="38">SUM(F101:F102)</f>
        <v>10472.92</v>
      </c>
      <c r="G103" s="27">
        <f t="shared" si="38"/>
        <v>13518.560000000001</v>
      </c>
      <c r="H103" s="27"/>
      <c r="I103" s="27">
        <f t="shared" si="38"/>
        <v>23991.480000000003</v>
      </c>
    </row>
    <row r="104" spans="1:14" ht="12" customHeight="1">
      <c r="A104" s="25"/>
      <c r="B104" s="40"/>
      <c r="F104" s="43"/>
      <c r="G104" s="43"/>
      <c r="H104" s="43"/>
      <c r="I104" s="43"/>
    </row>
    <row r="105" spans="1:14" s="4" customFormat="1" ht="12" customHeight="1">
      <c r="A105" s="28" t="s">
        <v>23</v>
      </c>
      <c r="B105" s="28" t="s">
        <v>23</v>
      </c>
      <c r="C105" s="20"/>
      <c r="D105" s="20"/>
      <c r="E105" s="20"/>
      <c r="I105" s="23"/>
      <c r="K105" s="22"/>
      <c r="L105" s="22"/>
      <c r="M105" s="5"/>
      <c r="N105" s="22"/>
    </row>
    <row r="106" spans="1:14" s="4" customFormat="1" ht="12" customHeight="1">
      <c r="A106" s="5" t="s">
        <v>24</v>
      </c>
      <c r="B106" s="5" t="s">
        <v>25</v>
      </c>
      <c r="C106" s="20"/>
      <c r="D106" s="20"/>
      <c r="E106" s="20"/>
      <c r="F106" s="21">
        <v>394.35999999999996</v>
      </c>
      <c r="G106" s="21">
        <v>359.94</v>
      </c>
      <c r="H106" s="21"/>
      <c r="I106" s="23">
        <f>SUM(F106:H106)</f>
        <v>754.3</v>
      </c>
      <c r="K106" s="22"/>
      <c r="L106" s="22"/>
      <c r="M106" s="5"/>
      <c r="N106" s="22"/>
    </row>
    <row r="107" spans="1:14" s="4" customFormat="1" ht="12" customHeight="1">
      <c r="A107" s="5" t="s">
        <v>159</v>
      </c>
      <c r="B107" s="5" t="s">
        <v>160</v>
      </c>
      <c r="C107" s="20"/>
      <c r="D107" s="20"/>
      <c r="E107" s="20"/>
      <c r="F107" s="21">
        <v>0</v>
      </c>
      <c r="G107" s="21">
        <v>0</v>
      </c>
      <c r="H107" s="21"/>
      <c r="I107" s="23">
        <f>SUM(F107:H107)</f>
        <v>0</v>
      </c>
      <c r="K107" s="22"/>
      <c r="L107" s="22"/>
      <c r="M107" s="5"/>
      <c r="N107" s="22"/>
    </row>
    <row r="108" spans="1:14" s="4" customFormat="1" ht="12" customHeight="1">
      <c r="A108" s="24"/>
      <c r="B108" s="24"/>
      <c r="C108" s="20"/>
      <c r="D108" s="20"/>
      <c r="E108" s="20"/>
      <c r="I108" s="23"/>
      <c r="K108" s="22"/>
      <c r="L108" s="22"/>
      <c r="M108" s="5"/>
      <c r="N108" s="22"/>
    </row>
    <row r="109" spans="1:14" s="4" customFormat="1" ht="12" customHeight="1">
      <c r="A109" s="32"/>
      <c r="B109" s="26" t="s">
        <v>26</v>
      </c>
      <c r="C109" s="20"/>
      <c r="D109" s="20"/>
      <c r="E109" s="20"/>
      <c r="F109" s="27">
        <f t="shared" ref="F109:G109" si="39">SUM(F106:F107)</f>
        <v>394.35999999999996</v>
      </c>
      <c r="G109" s="27">
        <f t="shared" si="39"/>
        <v>359.94</v>
      </c>
      <c r="H109" s="27"/>
      <c r="I109" s="27">
        <f>SUM(I106:I107)</f>
        <v>754.3</v>
      </c>
      <c r="K109" s="22"/>
      <c r="L109" s="22"/>
      <c r="M109" s="5"/>
      <c r="N109" s="22"/>
    </row>
    <row r="110" spans="1:14" ht="12" customHeight="1">
      <c r="A110" s="25"/>
      <c r="B110" s="40"/>
    </row>
    <row r="111" spans="1:14" ht="12" customHeight="1">
      <c r="A111" s="6"/>
      <c r="B111" s="37" t="s">
        <v>27</v>
      </c>
      <c r="F111" s="27">
        <f>SUM(F33,F79,F93,F98,F103,F109)</f>
        <v>261363.85</v>
      </c>
      <c r="G111" s="27">
        <f>SUM(G33,G79,G93,G98,G103,G109)</f>
        <v>268870.05499999999</v>
      </c>
      <c r="H111" s="27"/>
      <c r="I111" s="27">
        <f>SUM(I33,I79,I93,I98,I103,I109)</f>
        <v>530233.90500000003</v>
      </c>
    </row>
    <row r="112" spans="1:14">
      <c r="A112" s="6"/>
      <c r="B112" s="6"/>
    </row>
    <row r="113" spans="6:9">
      <c r="F113" s="39">
        <v>261363.84999999998</v>
      </c>
      <c r="G113" s="39">
        <v>268903.39500000002</v>
      </c>
      <c r="I113" s="5" t="s">
        <v>519</v>
      </c>
    </row>
    <row r="114" spans="6:9">
      <c r="F114" s="101">
        <f>F113-F111</f>
        <v>0</v>
      </c>
      <c r="G114" s="101">
        <f>G113-G111</f>
        <v>33.340000000025611</v>
      </c>
      <c r="I114" s="5" t="s">
        <v>517</v>
      </c>
    </row>
  </sheetData>
  <pageMargins left="0.7" right="0.7" top="0.75" bottom="0.75" header="0.3" footer="0.3"/>
  <pageSetup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9"/>
  </sheetPr>
  <dimension ref="A1:O167"/>
  <sheetViews>
    <sheetView zoomScale="110" zoomScaleNormal="110" workbookViewId="0">
      <pane xSplit="2" ySplit="6" topLeftCell="C7" activePane="bottomRight" state="frozen"/>
      <selection activeCell="E180" sqref="E180"/>
      <selection pane="topRight" activeCell="E180" sqref="E180"/>
      <selection pane="bottomLeft" activeCell="E180" sqref="E180"/>
      <selection pane="bottomRight" activeCell="C22" sqref="C22"/>
    </sheetView>
  </sheetViews>
  <sheetFormatPr defaultRowHeight="12.75" outlineLevelCol="1"/>
  <cols>
    <col min="1" max="1" width="22.7109375" style="16" customWidth="1"/>
    <col min="2" max="2" width="29.140625" style="16" bestFit="1" customWidth="1"/>
    <col min="3" max="3" width="14.28515625" style="5" customWidth="1"/>
    <col min="4" max="4" width="2" style="5" customWidth="1"/>
    <col min="5" max="5" width="17.85546875" style="5" hidden="1" customWidth="1" outlineLevel="1"/>
    <col min="6" max="6" width="15.85546875" style="5" hidden="1" customWidth="1" outlineLevel="1"/>
    <col min="7" max="7" width="1.28515625" style="5" hidden="1" customWidth="1" outlineLevel="1"/>
    <col min="8" max="8" width="13.5703125" style="5" bestFit="1" customWidth="1" collapsed="1"/>
    <col min="9" max="9" width="3.42578125" style="5" customWidth="1"/>
    <col min="10" max="10" width="13.5703125" style="5" hidden="1" customWidth="1" outlineLevel="1"/>
    <col min="11" max="11" width="9.140625" style="5" collapsed="1"/>
    <col min="12" max="12" width="9.140625" style="91"/>
    <col min="13" max="16384" width="9.140625" style="5"/>
  </cols>
  <sheetData>
    <row r="1" spans="1:13" ht="12" customHeight="1">
      <c r="A1" s="1" t="s">
        <v>28</v>
      </c>
      <c r="B1" s="2"/>
      <c r="C1" s="3"/>
      <c r="D1" s="2"/>
      <c r="E1" s="4"/>
      <c r="F1" s="4"/>
      <c r="G1" s="4"/>
      <c r="H1" s="4"/>
      <c r="I1" s="4"/>
      <c r="J1" s="4"/>
    </row>
    <row r="2" spans="1:13" ht="12" customHeight="1">
      <c r="A2" s="1" t="s">
        <v>495</v>
      </c>
      <c r="B2" s="2"/>
      <c r="C2" s="3"/>
      <c r="D2" s="2"/>
      <c r="E2" s="100" t="s">
        <v>494</v>
      </c>
      <c r="F2" s="100" t="s">
        <v>494</v>
      </c>
      <c r="G2" s="4"/>
      <c r="H2" s="4"/>
      <c r="I2" s="4"/>
      <c r="J2" s="4"/>
    </row>
    <row r="3" spans="1:13" ht="12" customHeight="1">
      <c r="A3" s="6" t="str">
        <f>'Spokane Reg - Price out'!A3</f>
        <v>July 1, 2015 - June 30, 2016</v>
      </c>
      <c r="B3" s="2"/>
      <c r="C3" s="3"/>
      <c r="D3" s="2"/>
      <c r="E3" s="7"/>
      <c r="F3" s="7"/>
      <c r="G3" s="4"/>
      <c r="H3" s="4"/>
      <c r="I3" s="4"/>
      <c r="J3" s="4"/>
    </row>
    <row r="4" spans="1:13" ht="12" customHeight="1">
      <c r="A4" s="2"/>
      <c r="B4" s="8"/>
      <c r="C4" s="9" t="s">
        <v>500</v>
      </c>
      <c r="D4" s="2"/>
      <c r="E4" s="10" t="s">
        <v>500</v>
      </c>
      <c r="F4" s="10" t="s">
        <v>499</v>
      </c>
      <c r="G4" s="10"/>
      <c r="H4" s="11" t="s">
        <v>0</v>
      </c>
      <c r="I4" s="4"/>
      <c r="J4" s="12" t="s">
        <v>500</v>
      </c>
      <c r="K4" s="12" t="s">
        <v>487</v>
      </c>
      <c r="L4" s="92" t="s">
        <v>488</v>
      </c>
      <c r="M4" s="92" t="s">
        <v>492</v>
      </c>
    </row>
    <row r="5" spans="1:13" ht="12" customHeight="1">
      <c r="A5" s="13" t="s">
        <v>1</v>
      </c>
      <c r="B5" s="8" t="s">
        <v>2</v>
      </c>
      <c r="C5" s="14" t="s">
        <v>3</v>
      </c>
      <c r="D5" s="8"/>
      <c r="E5" s="11" t="s">
        <v>4</v>
      </c>
      <c r="F5" s="11" t="s">
        <v>4</v>
      </c>
      <c r="G5" s="11"/>
      <c r="H5" s="11" t="s">
        <v>4</v>
      </c>
      <c r="I5" s="4"/>
      <c r="J5" s="15" t="s">
        <v>5</v>
      </c>
      <c r="K5" s="15" t="s">
        <v>486</v>
      </c>
      <c r="L5" s="93" t="s">
        <v>489</v>
      </c>
      <c r="M5" s="93" t="s">
        <v>491</v>
      </c>
    </row>
    <row r="6" spans="1:13" ht="12" customHeight="1"/>
    <row r="7" spans="1:13" s="4" customFormat="1" ht="12" customHeight="1">
      <c r="B7" s="2"/>
      <c r="C7" s="3"/>
      <c r="D7" s="2"/>
      <c r="K7" s="5"/>
      <c r="L7" s="22"/>
    </row>
    <row r="8" spans="1:13" s="4" customFormat="1" ht="12" customHeight="1">
      <c r="C8" s="3"/>
      <c r="D8" s="17"/>
      <c r="K8" s="5"/>
      <c r="L8" s="22"/>
    </row>
    <row r="9" spans="1:13" s="4" customFormat="1" ht="12" customHeight="1">
      <c r="A9" s="18" t="s">
        <v>6</v>
      </c>
      <c r="B9" s="18" t="s">
        <v>6</v>
      </c>
      <c r="C9" s="3"/>
      <c r="D9" s="17"/>
      <c r="K9" s="5"/>
      <c r="L9" s="22"/>
    </row>
    <row r="10" spans="1:13" s="4" customFormat="1" ht="12" customHeight="1">
      <c r="A10" s="18"/>
      <c r="B10" s="18"/>
      <c r="C10" s="3"/>
      <c r="D10" s="17"/>
      <c r="K10" s="5"/>
      <c r="L10" s="22"/>
    </row>
    <row r="11" spans="1:13" s="4" customFormat="1" ht="12" customHeight="1">
      <c r="A11" s="19" t="s">
        <v>7</v>
      </c>
      <c r="B11" s="19" t="s">
        <v>7</v>
      </c>
      <c r="C11" s="20"/>
      <c r="D11" s="20"/>
      <c r="E11" s="22"/>
      <c r="F11" s="22"/>
      <c r="G11" s="22"/>
      <c r="H11" s="23"/>
      <c r="J11" s="22"/>
      <c r="K11" s="5"/>
      <c r="L11" s="22"/>
    </row>
    <row r="12" spans="1:13" s="4" customFormat="1" ht="12" customHeight="1">
      <c r="A12" s="5" t="s">
        <v>29</v>
      </c>
      <c r="B12" s="5" t="s">
        <v>30</v>
      </c>
      <c r="C12" s="20">
        <v>13.43</v>
      </c>
      <c r="D12" s="20"/>
      <c r="E12" s="21">
        <v>951.86500000000001</v>
      </c>
      <c r="F12" s="21">
        <v>1059.2950000000001</v>
      </c>
      <c r="G12" s="21"/>
      <c r="H12" s="23">
        <f>SUM(E12:F12)</f>
        <v>2011.16</v>
      </c>
      <c r="J12" s="22">
        <f>IFERROR((H12/$C12)/12,0)</f>
        <v>12.479275254405559</v>
      </c>
      <c r="K12" s="82">
        <f>J12</f>
        <v>12.479275254405559</v>
      </c>
      <c r="L12" s="22">
        <v>0</v>
      </c>
      <c r="M12" s="89">
        <f>H12/C12</f>
        <v>149.75130305286672</v>
      </c>
    </row>
    <row r="13" spans="1:13" s="4" customFormat="1" ht="12" customHeight="1">
      <c r="A13" s="5" t="s">
        <v>31</v>
      </c>
      <c r="B13" s="5" t="s">
        <v>32</v>
      </c>
      <c r="C13" s="20">
        <v>10.83</v>
      </c>
      <c r="D13" s="20"/>
      <c r="E13" s="21">
        <v>2647.9350000000004</v>
      </c>
      <c r="F13" s="21">
        <v>2702.085</v>
      </c>
      <c r="G13" s="21"/>
      <c r="H13" s="23">
        <f t="shared" ref="H13:H34" si="0">SUM(E13:F13)</f>
        <v>5350.02</v>
      </c>
      <c r="J13" s="22">
        <f t="shared" ref="J13:J29" si="1">IFERROR((H13/$C13)/12,0)</f>
        <v>41.166666666666671</v>
      </c>
      <c r="K13" s="82">
        <f t="shared" ref="K13:K35" si="2">J13</f>
        <v>41.166666666666671</v>
      </c>
      <c r="L13" s="22">
        <v>0</v>
      </c>
      <c r="M13" s="89">
        <f t="shared" ref="M13:M29" si="3">H13/C13</f>
        <v>494.00000000000006</v>
      </c>
    </row>
    <row r="14" spans="1:13" s="4" customFormat="1" ht="12" customHeight="1">
      <c r="A14" s="5" t="s">
        <v>33</v>
      </c>
      <c r="B14" s="5" t="s">
        <v>34</v>
      </c>
      <c r="C14" s="20">
        <v>17.079999999999998</v>
      </c>
      <c r="D14" s="20"/>
      <c r="E14" s="21">
        <v>105410.955</v>
      </c>
      <c r="F14" s="21">
        <v>104398.08500000001</v>
      </c>
      <c r="G14" s="21"/>
      <c r="H14" s="23">
        <f t="shared" si="0"/>
        <v>209809.04</v>
      </c>
      <c r="J14" s="22">
        <f t="shared" si="1"/>
        <v>1023.6584699453553</v>
      </c>
      <c r="K14" s="82">
        <f t="shared" si="2"/>
        <v>1023.6584699453553</v>
      </c>
      <c r="L14" s="22">
        <v>0</v>
      </c>
      <c r="M14" s="89">
        <f t="shared" si="3"/>
        <v>12283.901639344263</v>
      </c>
    </row>
    <row r="15" spans="1:13" s="4" customFormat="1" ht="12" customHeight="1">
      <c r="A15" s="5" t="s">
        <v>35</v>
      </c>
      <c r="B15" s="5" t="s">
        <v>36</v>
      </c>
      <c r="C15" s="20">
        <v>22.67</v>
      </c>
      <c r="D15" s="20"/>
      <c r="E15" s="21">
        <v>24962.520000000004</v>
      </c>
      <c r="F15" s="21">
        <v>24613.955000000002</v>
      </c>
      <c r="G15" s="21"/>
      <c r="H15" s="23">
        <f t="shared" si="0"/>
        <v>49576.475000000006</v>
      </c>
      <c r="J15" s="22">
        <f t="shared" si="1"/>
        <v>182.23965225702102</v>
      </c>
      <c r="K15" s="82">
        <f t="shared" si="2"/>
        <v>182.23965225702102</v>
      </c>
      <c r="L15" s="22">
        <v>0</v>
      </c>
      <c r="M15" s="89">
        <f t="shared" si="3"/>
        <v>2186.8758270842523</v>
      </c>
    </row>
    <row r="16" spans="1:13" s="4" customFormat="1" ht="12" customHeight="1">
      <c r="A16" s="5" t="s">
        <v>37</v>
      </c>
      <c r="B16" s="5" t="s">
        <v>38</v>
      </c>
      <c r="C16" s="20">
        <v>30.04</v>
      </c>
      <c r="D16" s="20"/>
      <c r="E16" s="21">
        <v>1502</v>
      </c>
      <c r="F16" s="21">
        <v>1847.46</v>
      </c>
      <c r="G16" s="21"/>
      <c r="H16" s="23">
        <f t="shared" si="0"/>
        <v>3349.46</v>
      </c>
      <c r="J16" s="22">
        <f t="shared" si="1"/>
        <v>9.2916666666666661</v>
      </c>
      <c r="K16" s="82">
        <f t="shared" si="2"/>
        <v>9.2916666666666661</v>
      </c>
      <c r="L16" s="22">
        <v>0</v>
      </c>
      <c r="M16" s="89">
        <f t="shared" si="3"/>
        <v>111.5</v>
      </c>
    </row>
    <row r="17" spans="1:13" s="4" customFormat="1" ht="12" customHeight="1">
      <c r="A17" s="5" t="s">
        <v>161</v>
      </c>
      <c r="B17" s="5" t="s">
        <v>162</v>
      </c>
      <c r="C17" s="20">
        <v>39.25</v>
      </c>
      <c r="D17" s="20"/>
      <c r="E17" s="21">
        <v>235.5</v>
      </c>
      <c r="F17" s="21">
        <v>235.5</v>
      </c>
      <c r="G17" s="21"/>
      <c r="H17" s="23">
        <f t="shared" si="0"/>
        <v>471</v>
      </c>
      <c r="J17" s="22">
        <f t="shared" si="1"/>
        <v>1</v>
      </c>
      <c r="K17" s="82">
        <f t="shared" si="2"/>
        <v>1</v>
      </c>
      <c r="L17" s="22">
        <v>0</v>
      </c>
      <c r="M17" s="89">
        <f t="shared" si="3"/>
        <v>12</v>
      </c>
    </row>
    <row r="18" spans="1:13" s="4" customFormat="1" ht="12" customHeight="1">
      <c r="A18" s="5" t="s">
        <v>39</v>
      </c>
      <c r="B18" s="5" t="s">
        <v>40</v>
      </c>
      <c r="C18" s="20">
        <v>24.32</v>
      </c>
      <c r="D18" s="20"/>
      <c r="E18" s="21">
        <v>102298.78000000003</v>
      </c>
      <c r="F18" s="21">
        <v>105268.45999999999</v>
      </c>
      <c r="G18" s="21"/>
      <c r="H18" s="23">
        <f t="shared" si="0"/>
        <v>207567.24000000002</v>
      </c>
      <c r="J18" s="22">
        <f t="shared" si="1"/>
        <v>711.2364309210526</v>
      </c>
      <c r="K18" s="82">
        <f t="shared" si="2"/>
        <v>711.2364309210526</v>
      </c>
      <c r="L18" s="22">
        <f>+K18</f>
        <v>711.2364309210526</v>
      </c>
      <c r="M18" s="89">
        <f t="shared" si="3"/>
        <v>8534.8371710526317</v>
      </c>
    </row>
    <row r="19" spans="1:13" s="4" customFormat="1" ht="12" customHeight="1">
      <c r="A19" s="5" t="s">
        <v>41</v>
      </c>
      <c r="B19" s="5" t="s">
        <v>42</v>
      </c>
      <c r="C19" s="20">
        <v>48.64</v>
      </c>
      <c r="D19" s="20"/>
      <c r="E19" s="21">
        <v>0</v>
      </c>
      <c r="F19" s="21">
        <v>206.71999999999997</v>
      </c>
      <c r="G19" s="21"/>
      <c r="H19" s="23">
        <f t="shared" si="0"/>
        <v>206.71999999999997</v>
      </c>
      <c r="J19" s="22">
        <f t="shared" si="1"/>
        <v>0.35416666666666657</v>
      </c>
      <c r="K19" s="82">
        <f t="shared" si="2"/>
        <v>0.35416666666666657</v>
      </c>
      <c r="L19" s="22">
        <f>K19*2</f>
        <v>0.70833333333333315</v>
      </c>
      <c r="M19" s="89">
        <f t="shared" si="3"/>
        <v>4.2499999999999991</v>
      </c>
    </row>
    <row r="20" spans="1:13" s="4" customFormat="1" ht="12" customHeight="1">
      <c r="A20" s="5" t="s">
        <v>163</v>
      </c>
      <c r="B20" s="5" t="s">
        <v>164</v>
      </c>
      <c r="C20" s="20">
        <v>72.959999999999994</v>
      </c>
      <c r="D20" s="20"/>
      <c r="E20" s="21">
        <v>437.75999999999993</v>
      </c>
      <c r="F20" s="21">
        <v>857.27999999999986</v>
      </c>
      <c r="G20" s="21"/>
      <c r="H20" s="23">
        <f t="shared" si="0"/>
        <v>1295.0399999999997</v>
      </c>
      <c r="J20" s="22">
        <f t="shared" si="1"/>
        <v>1.4791666666666663</v>
      </c>
      <c r="K20" s="82">
        <f t="shared" si="2"/>
        <v>1.4791666666666663</v>
      </c>
      <c r="L20" s="22">
        <f>+K20*3</f>
        <v>4.4374999999999991</v>
      </c>
      <c r="M20" s="89">
        <f t="shared" si="3"/>
        <v>17.749999999999996</v>
      </c>
    </row>
    <row r="21" spans="1:13" s="4" customFormat="1" ht="12" customHeight="1">
      <c r="A21" s="5" t="s">
        <v>43</v>
      </c>
      <c r="B21" s="5" t="s">
        <v>44</v>
      </c>
      <c r="C21" s="20">
        <v>30.04</v>
      </c>
      <c r="D21" s="20"/>
      <c r="E21" s="21">
        <v>235429.98</v>
      </c>
      <c r="F21" s="21">
        <v>235317.11499999996</v>
      </c>
      <c r="G21" s="21"/>
      <c r="H21" s="23">
        <f t="shared" si="0"/>
        <v>470747.09499999997</v>
      </c>
      <c r="J21" s="22">
        <f t="shared" si="1"/>
        <v>1305.8896332667553</v>
      </c>
      <c r="K21" s="82">
        <f t="shared" si="2"/>
        <v>1305.8896332667553</v>
      </c>
      <c r="L21" s="22">
        <f>+K21</f>
        <v>1305.8896332667553</v>
      </c>
      <c r="M21" s="89">
        <f t="shared" si="3"/>
        <v>15670.675599201064</v>
      </c>
    </row>
    <row r="22" spans="1:13" s="4" customFormat="1" ht="12" customHeight="1">
      <c r="A22" s="5" t="s">
        <v>45</v>
      </c>
      <c r="B22" s="5" t="s">
        <v>46</v>
      </c>
      <c r="C22" s="20">
        <v>60.08</v>
      </c>
      <c r="D22" s="20"/>
      <c r="E22" s="21">
        <v>4085.4400000000005</v>
      </c>
      <c r="F22" s="21">
        <v>4055.2200000000003</v>
      </c>
      <c r="G22" s="21"/>
      <c r="H22" s="23">
        <f t="shared" si="0"/>
        <v>8140.6600000000008</v>
      </c>
      <c r="J22" s="22">
        <f t="shared" si="1"/>
        <v>11.291416999556148</v>
      </c>
      <c r="K22" s="82">
        <f t="shared" si="2"/>
        <v>11.291416999556148</v>
      </c>
      <c r="L22" s="22">
        <f>+K22*2</f>
        <v>22.582833999112296</v>
      </c>
      <c r="M22" s="89">
        <f t="shared" si="3"/>
        <v>135.49700399467378</v>
      </c>
    </row>
    <row r="23" spans="1:13" s="4" customFormat="1" ht="12" customHeight="1">
      <c r="A23" s="5" t="s">
        <v>49</v>
      </c>
      <c r="B23" s="5" t="s">
        <v>50</v>
      </c>
      <c r="C23" s="20">
        <v>11.92</v>
      </c>
      <c r="D23" s="20"/>
      <c r="E23" s="21">
        <v>143.03999999999996</v>
      </c>
      <c r="F23" s="21">
        <v>225.39</v>
      </c>
      <c r="G23" s="21"/>
      <c r="H23" s="23">
        <f t="shared" si="0"/>
        <v>368.42999999999995</v>
      </c>
      <c r="J23" s="22">
        <f t="shared" si="1"/>
        <v>2.5757130872483218</v>
      </c>
      <c r="K23" s="82">
        <f t="shared" si="2"/>
        <v>2.5757130872483218</v>
      </c>
      <c r="L23" s="22"/>
      <c r="M23" s="89">
        <f t="shared" si="3"/>
        <v>30.908557046979862</v>
      </c>
    </row>
    <row r="24" spans="1:13" s="4" customFormat="1" ht="12" customHeight="1">
      <c r="A24" s="5" t="s">
        <v>165</v>
      </c>
      <c r="B24" s="5" t="s">
        <v>166</v>
      </c>
      <c r="C24" s="20">
        <v>11.92</v>
      </c>
      <c r="D24" s="20"/>
      <c r="E24" s="21">
        <v>11.92</v>
      </c>
      <c r="F24" s="21">
        <v>65.53</v>
      </c>
      <c r="G24" s="21"/>
      <c r="H24" s="23">
        <f t="shared" si="0"/>
        <v>77.45</v>
      </c>
      <c r="J24" s="22">
        <f t="shared" si="1"/>
        <v>0.54145693512304249</v>
      </c>
      <c r="K24" s="82">
        <f t="shared" si="2"/>
        <v>0.54145693512304249</v>
      </c>
      <c r="L24" s="22"/>
      <c r="M24" s="89">
        <f t="shared" si="3"/>
        <v>6.4974832214765099</v>
      </c>
    </row>
    <row r="25" spans="1:13" s="2" customFormat="1" ht="12" customHeight="1">
      <c r="A25" s="5" t="s">
        <v>51</v>
      </c>
      <c r="B25" s="5" t="s">
        <v>52</v>
      </c>
      <c r="C25" s="20">
        <v>3.91</v>
      </c>
      <c r="D25" s="20"/>
      <c r="E25" s="21">
        <v>7518.9299999999994</v>
      </c>
      <c r="F25" s="21">
        <v>8050.99</v>
      </c>
      <c r="G25" s="21"/>
      <c r="H25" s="23">
        <f t="shared" si="0"/>
        <v>15569.919999999998</v>
      </c>
      <c r="J25" s="22">
        <f t="shared" si="1"/>
        <v>331.83972719522586</v>
      </c>
      <c r="K25" s="82">
        <f t="shared" si="2"/>
        <v>331.83972719522586</v>
      </c>
      <c r="L25" s="22"/>
      <c r="M25" s="89">
        <f t="shared" si="3"/>
        <v>3982.0767263427106</v>
      </c>
    </row>
    <row r="26" spans="1:13" s="2" customFormat="1" ht="12" customHeight="1">
      <c r="A26" s="5" t="s">
        <v>53</v>
      </c>
      <c r="B26" s="5" t="s">
        <v>54</v>
      </c>
      <c r="C26" s="20">
        <v>19.559999999999999</v>
      </c>
      <c r="D26" s="20"/>
      <c r="E26" s="21">
        <v>586.79999999999995</v>
      </c>
      <c r="F26" s="21">
        <v>821.52</v>
      </c>
      <c r="G26" s="21"/>
      <c r="H26" s="23">
        <f t="shared" si="0"/>
        <v>1408.32</v>
      </c>
      <c r="J26" s="22">
        <f t="shared" si="1"/>
        <v>6</v>
      </c>
      <c r="K26" s="82">
        <f t="shared" si="2"/>
        <v>6</v>
      </c>
      <c r="L26" s="22"/>
      <c r="M26" s="89">
        <f t="shared" si="3"/>
        <v>72</v>
      </c>
    </row>
    <row r="27" spans="1:13" s="4" customFormat="1" ht="12" customHeight="1">
      <c r="A27" s="5" t="s">
        <v>57</v>
      </c>
      <c r="B27" s="5" t="s">
        <v>58</v>
      </c>
      <c r="C27" s="20">
        <v>3.91</v>
      </c>
      <c r="D27" s="20"/>
      <c r="E27" s="21">
        <v>35.19</v>
      </c>
      <c r="F27" s="21">
        <v>54.739999999999995</v>
      </c>
      <c r="G27" s="21"/>
      <c r="H27" s="23">
        <f t="shared" si="0"/>
        <v>89.929999999999993</v>
      </c>
      <c r="J27" s="22">
        <f t="shared" si="1"/>
        <v>1.9166666666666663</v>
      </c>
      <c r="K27" s="82">
        <f t="shared" si="2"/>
        <v>1.9166666666666663</v>
      </c>
      <c r="L27" s="22"/>
      <c r="M27" s="89">
        <f t="shared" si="3"/>
        <v>22.999999999999996</v>
      </c>
    </row>
    <row r="28" spans="1:13" s="4" customFormat="1" ht="12" customHeight="1">
      <c r="A28" s="5" t="s">
        <v>59</v>
      </c>
      <c r="B28" s="5" t="s">
        <v>60</v>
      </c>
      <c r="C28" s="20">
        <v>3.91</v>
      </c>
      <c r="D28" s="20"/>
      <c r="E28" s="21">
        <v>74.290000000000006</v>
      </c>
      <c r="F28" s="21">
        <v>19.55</v>
      </c>
      <c r="G28" s="21"/>
      <c r="H28" s="23">
        <f t="shared" si="0"/>
        <v>93.84</v>
      </c>
      <c r="J28" s="22">
        <f t="shared" si="1"/>
        <v>2</v>
      </c>
      <c r="K28" s="82">
        <f t="shared" si="2"/>
        <v>2</v>
      </c>
      <c r="L28" s="22"/>
      <c r="M28" s="89">
        <f t="shared" si="3"/>
        <v>24</v>
      </c>
    </row>
    <row r="29" spans="1:13" s="4" customFormat="1" ht="12" customHeight="1">
      <c r="A29" s="5" t="s">
        <v>55</v>
      </c>
      <c r="B29" s="5" t="s">
        <v>56</v>
      </c>
      <c r="C29" s="20">
        <v>19.559999999999999</v>
      </c>
      <c r="D29" s="20"/>
      <c r="E29" s="21">
        <v>107.57999999999998</v>
      </c>
      <c r="F29" s="21">
        <v>127.13999999999999</v>
      </c>
      <c r="G29" s="21"/>
      <c r="H29" s="23">
        <f t="shared" si="0"/>
        <v>234.71999999999997</v>
      </c>
      <c r="J29" s="22">
        <f t="shared" si="1"/>
        <v>1</v>
      </c>
      <c r="K29" s="82">
        <f t="shared" si="2"/>
        <v>1</v>
      </c>
      <c r="L29" s="22"/>
      <c r="M29" s="89">
        <f t="shared" si="3"/>
        <v>12</v>
      </c>
    </row>
    <row r="30" spans="1:13" s="2" customFormat="1" ht="12" customHeight="1">
      <c r="A30" s="5" t="s">
        <v>61</v>
      </c>
      <c r="B30" s="5" t="s">
        <v>62</v>
      </c>
      <c r="C30" s="20">
        <v>3.4649999999999999</v>
      </c>
      <c r="D30" s="20"/>
      <c r="E30" s="21">
        <v>73.209999999999994</v>
      </c>
      <c r="F30" s="21">
        <v>62.37</v>
      </c>
      <c r="G30" s="21"/>
      <c r="H30" s="23">
        <f t="shared" si="0"/>
        <v>135.57999999999998</v>
      </c>
      <c r="J30" s="22">
        <f t="shared" ref="J30:J35" si="4">IFERROR((H30/$C30)/12,0)</f>
        <v>3.2607022607022604</v>
      </c>
      <c r="K30" s="82">
        <f t="shared" si="2"/>
        <v>3.2607022607022604</v>
      </c>
      <c r="L30" s="22"/>
      <c r="M30" s="89">
        <f t="shared" ref="M30:M35" si="5">H30/C30</f>
        <v>39.128427128427127</v>
      </c>
    </row>
    <row r="31" spans="1:13" s="2" customFormat="1" ht="12" customHeight="1">
      <c r="A31" s="5" t="s">
        <v>507</v>
      </c>
      <c r="B31" s="5" t="s">
        <v>508</v>
      </c>
      <c r="C31" s="20">
        <v>6.625</v>
      </c>
      <c r="D31" s="20"/>
      <c r="E31" s="21">
        <v>2802.3600000000006</v>
      </c>
      <c r="F31" s="21">
        <v>2681.8599999999997</v>
      </c>
      <c r="G31" s="21"/>
      <c r="H31" s="23">
        <f t="shared" si="0"/>
        <v>5484.22</v>
      </c>
      <c r="J31" s="22">
        <f t="shared" si="4"/>
        <v>68.983899371069185</v>
      </c>
      <c r="K31" s="82">
        <f t="shared" si="2"/>
        <v>68.983899371069185</v>
      </c>
      <c r="L31" s="22"/>
      <c r="M31" s="89">
        <f t="shared" si="5"/>
        <v>827.80679245283022</v>
      </c>
    </row>
    <row r="32" spans="1:13" s="2" customFormat="1" ht="12" customHeight="1">
      <c r="A32" s="5" t="s">
        <v>509</v>
      </c>
      <c r="B32" s="5" t="s">
        <v>510</v>
      </c>
      <c r="C32" s="20">
        <v>3.46</v>
      </c>
      <c r="D32" s="20"/>
      <c r="E32" s="21">
        <v>0.8</v>
      </c>
      <c r="F32" s="21">
        <v>8.49</v>
      </c>
      <c r="G32" s="21"/>
      <c r="H32" s="23">
        <f t="shared" si="0"/>
        <v>9.2900000000000009</v>
      </c>
      <c r="J32" s="22">
        <f t="shared" si="4"/>
        <v>0.22374759152215803</v>
      </c>
      <c r="K32" s="82">
        <f t="shared" si="2"/>
        <v>0.22374759152215803</v>
      </c>
      <c r="L32" s="22"/>
      <c r="M32" s="89">
        <f t="shared" si="5"/>
        <v>2.6849710982658963</v>
      </c>
    </row>
    <row r="33" spans="1:13" s="2" customFormat="1" ht="12" customHeight="1">
      <c r="A33" s="5" t="s">
        <v>63</v>
      </c>
      <c r="B33" s="5" t="s">
        <v>64</v>
      </c>
      <c r="C33" s="20">
        <v>21.86</v>
      </c>
      <c r="D33" s="20"/>
      <c r="E33" s="21">
        <v>109.3</v>
      </c>
      <c r="F33" s="21">
        <v>109.3</v>
      </c>
      <c r="G33" s="21"/>
      <c r="H33" s="23">
        <f t="shared" si="0"/>
        <v>218.6</v>
      </c>
      <c r="J33" s="22">
        <f t="shared" si="4"/>
        <v>0.83333333333333337</v>
      </c>
      <c r="K33" s="82">
        <f t="shared" si="2"/>
        <v>0.83333333333333337</v>
      </c>
      <c r="L33" s="22"/>
      <c r="M33" s="89">
        <f t="shared" si="5"/>
        <v>10</v>
      </c>
    </row>
    <row r="34" spans="1:13" s="4" customFormat="1" ht="12" customHeight="1">
      <c r="A34" s="5" t="s">
        <v>65</v>
      </c>
      <c r="B34" s="5" t="s">
        <v>66</v>
      </c>
      <c r="C34" s="20">
        <v>13.12</v>
      </c>
      <c r="D34" s="20"/>
      <c r="E34" s="21">
        <v>984</v>
      </c>
      <c r="F34" s="21">
        <v>774.07999999999993</v>
      </c>
      <c r="G34" s="21"/>
      <c r="H34" s="23">
        <f t="shared" si="0"/>
        <v>1758.08</v>
      </c>
      <c r="J34" s="22">
        <f t="shared" si="4"/>
        <v>11.166666666666666</v>
      </c>
      <c r="K34" s="82">
        <f t="shared" si="2"/>
        <v>11.166666666666666</v>
      </c>
      <c r="L34" s="22"/>
      <c r="M34" s="89">
        <f t="shared" si="5"/>
        <v>134</v>
      </c>
    </row>
    <row r="35" spans="1:13" s="4" customFormat="1" ht="12" customHeight="1">
      <c r="A35" s="5" t="s">
        <v>286</v>
      </c>
      <c r="B35" s="5" t="s">
        <v>290</v>
      </c>
      <c r="C35" s="20">
        <v>102</v>
      </c>
      <c r="D35" s="20"/>
      <c r="E35" s="21">
        <v>25.5</v>
      </c>
      <c r="F35" s="21">
        <v>0</v>
      </c>
      <c r="G35" s="21"/>
      <c r="H35" s="23">
        <f t="shared" ref="H35" si="6">SUM(E35:F35)</f>
        <v>25.5</v>
      </c>
      <c r="J35" s="22">
        <f t="shared" si="4"/>
        <v>2.0833333333333332E-2</v>
      </c>
      <c r="K35" s="82">
        <f t="shared" si="2"/>
        <v>2.0833333333333332E-2</v>
      </c>
      <c r="L35" s="22"/>
      <c r="M35" s="89">
        <f t="shared" si="5"/>
        <v>0.25</v>
      </c>
    </row>
    <row r="36" spans="1:13" s="4" customFormat="1" ht="12" customHeight="1" thickBot="1">
      <c r="A36" s="24"/>
      <c r="B36" s="24"/>
      <c r="C36" s="20"/>
      <c r="D36" s="20"/>
      <c r="E36" s="22"/>
      <c r="F36" s="22"/>
      <c r="G36" s="22"/>
      <c r="H36" s="23"/>
      <c r="K36" s="82"/>
      <c r="L36" s="22"/>
    </row>
    <row r="37" spans="1:13" s="2" customFormat="1" ht="12" customHeight="1" thickBot="1">
      <c r="A37" s="25"/>
      <c r="B37" s="26" t="s">
        <v>8</v>
      </c>
      <c r="C37" s="20"/>
      <c r="D37" s="20"/>
      <c r="E37" s="27">
        <f>SUM(E12:E36)</f>
        <v>490435.65499999997</v>
      </c>
      <c r="F37" s="27">
        <f>SUM(F12:F36)</f>
        <v>493562.13499999995</v>
      </c>
      <c r="G37" s="27"/>
      <c r="H37" s="27">
        <f>SUM(H12:H35)</f>
        <v>983997.78999999992</v>
      </c>
      <c r="J37" s="22"/>
      <c r="K37" s="84">
        <f>SUM(K12:K22)</f>
        <v>3300.0865453108131</v>
      </c>
      <c r="L37" s="21"/>
    </row>
    <row r="38" spans="1:13" s="4" customFormat="1" ht="12" customHeight="1">
      <c r="A38" s="18"/>
      <c r="B38" s="28"/>
      <c r="C38" s="20"/>
      <c r="D38" s="20"/>
      <c r="E38" s="30"/>
      <c r="F38" s="30"/>
      <c r="H38" s="23"/>
      <c r="J38" s="22"/>
      <c r="K38" s="82"/>
      <c r="L38" s="22"/>
    </row>
    <row r="39" spans="1:13" s="4" customFormat="1" ht="12" customHeight="1">
      <c r="A39" s="19" t="s">
        <v>9</v>
      </c>
      <c r="B39" s="19" t="s">
        <v>9</v>
      </c>
      <c r="C39" s="20"/>
      <c r="D39" s="20"/>
      <c r="E39" s="30"/>
      <c r="F39" s="30"/>
      <c r="H39" s="23"/>
      <c r="J39" s="22"/>
      <c r="K39" s="82"/>
      <c r="L39" s="22"/>
    </row>
    <row r="40" spans="1:13" s="4" customFormat="1" ht="12" customHeight="1">
      <c r="A40" s="16" t="s">
        <v>167</v>
      </c>
      <c r="B40" s="16" t="s">
        <v>168</v>
      </c>
      <c r="C40" s="20">
        <v>9.98</v>
      </c>
      <c r="D40" s="20"/>
      <c r="E40" s="21">
        <v>1716.56</v>
      </c>
      <c r="F40" s="21">
        <v>1976.04</v>
      </c>
      <c r="G40" s="21"/>
      <c r="H40" s="23">
        <f>SUM(E40:F40)</f>
        <v>3692.6</v>
      </c>
      <c r="J40" s="22">
        <f>IFERROR((H40/$C40)/12,0)</f>
        <v>30.833333333333332</v>
      </c>
      <c r="K40" s="82">
        <f t="shared" ref="K40" si="7">J40</f>
        <v>30.833333333333332</v>
      </c>
      <c r="L40" s="22"/>
      <c r="M40" s="89">
        <f t="shared" ref="M40" si="8">H40/C40</f>
        <v>370</v>
      </c>
    </row>
    <row r="41" spans="1:13" s="4" customFormat="1" ht="12" customHeight="1" thickBot="1">
      <c r="A41" s="31"/>
      <c r="B41" s="5"/>
      <c r="C41" s="20"/>
      <c r="D41" s="20"/>
      <c r="E41" s="22"/>
      <c r="F41" s="22"/>
      <c r="G41" s="22"/>
      <c r="H41" s="22"/>
      <c r="J41" s="22"/>
      <c r="K41" s="5"/>
      <c r="L41" s="22"/>
    </row>
    <row r="42" spans="1:13" s="2" customFormat="1" ht="12" customHeight="1" thickBot="1">
      <c r="A42" s="25"/>
      <c r="B42" s="26" t="s">
        <v>10</v>
      </c>
      <c r="C42" s="20"/>
      <c r="D42" s="20"/>
      <c r="E42" s="27">
        <f t="shared" ref="E42" si="9">SUM(E40:E41)</f>
        <v>1716.56</v>
      </c>
      <c r="F42" s="27">
        <f t="shared" ref="F42:H42" si="10">SUM(F40:F41)</f>
        <v>1976.04</v>
      </c>
      <c r="G42" s="27"/>
      <c r="H42" s="27">
        <f t="shared" si="10"/>
        <v>3692.6</v>
      </c>
      <c r="J42" s="22"/>
      <c r="K42" s="85">
        <f>SUM(K40:K41)</f>
        <v>30.833333333333332</v>
      </c>
      <c r="L42" s="21"/>
    </row>
    <row r="43" spans="1:13" s="2" customFormat="1" ht="12" customHeight="1">
      <c r="A43" s="32"/>
      <c r="B43" s="32"/>
      <c r="C43" s="20"/>
      <c r="D43" s="20"/>
      <c r="E43" s="29"/>
      <c r="F43" s="29"/>
      <c r="H43" s="23"/>
      <c r="J43" s="22"/>
      <c r="L43" s="21"/>
    </row>
    <row r="44" spans="1:13" s="4" customFormat="1" ht="12" customHeight="1">
      <c r="C44" s="20"/>
      <c r="D44" s="20"/>
      <c r="H44" s="23"/>
      <c r="J44" s="22"/>
      <c r="K44" s="5"/>
      <c r="L44" s="22"/>
    </row>
    <row r="45" spans="1:13" ht="12" customHeight="1">
      <c r="A45" s="33" t="s">
        <v>11</v>
      </c>
      <c r="B45" s="33" t="s">
        <v>11</v>
      </c>
    </row>
    <row r="46" spans="1:13" ht="12" customHeight="1">
      <c r="A46" s="33"/>
      <c r="B46" s="33"/>
    </row>
    <row r="47" spans="1:13" s="4" customFormat="1" ht="12" customHeight="1">
      <c r="A47" s="19" t="s">
        <v>12</v>
      </c>
      <c r="B47" s="19" t="s">
        <v>12</v>
      </c>
      <c r="C47" s="20"/>
      <c r="D47" s="20"/>
      <c r="H47" s="23"/>
      <c r="J47" s="22"/>
      <c r="K47" s="5"/>
      <c r="L47" s="22"/>
    </row>
    <row r="48" spans="1:13" s="4" customFormat="1" ht="12" customHeight="1">
      <c r="A48" s="5" t="s">
        <v>67</v>
      </c>
      <c r="B48" s="5" t="s">
        <v>68</v>
      </c>
      <c r="C48" s="20">
        <v>63.73</v>
      </c>
      <c r="D48" s="20"/>
      <c r="E48" s="21">
        <v>96423.53</v>
      </c>
      <c r="F48" s="21">
        <v>95849.959999999992</v>
      </c>
      <c r="G48" s="21"/>
      <c r="H48" s="23">
        <f>SUM(E48:F48)</f>
        <v>192273.49</v>
      </c>
      <c r="J48" s="22">
        <f>IFERROR((H48/$C48)/12,0)</f>
        <v>251.41677127464826</v>
      </c>
      <c r="K48" s="82">
        <f>J48</f>
        <v>251.41677127464826</v>
      </c>
      <c r="L48" s="22">
        <f>+K48</f>
        <v>251.41677127464826</v>
      </c>
      <c r="M48" s="89">
        <f>H48/C48</f>
        <v>3017.0012552957792</v>
      </c>
    </row>
    <row r="49" spans="1:13" s="4" customFormat="1" ht="12" customHeight="1">
      <c r="A49" s="5" t="s">
        <v>511</v>
      </c>
      <c r="B49" s="5" t="s">
        <v>512</v>
      </c>
      <c r="C49" s="20">
        <v>14.72</v>
      </c>
      <c r="D49" s="20"/>
      <c r="E49" s="21">
        <v>86.94</v>
      </c>
      <c r="F49" s="21">
        <v>87.4</v>
      </c>
      <c r="G49" s="21"/>
      <c r="H49" s="23">
        <f t="shared" ref="H49:H107" si="11">SUM(E49:F49)</f>
        <v>174.34</v>
      </c>
      <c r="J49" s="22">
        <f t="shared" ref="J49:J101" si="12">IFERROR((H49/$C49)/12,0)</f>
        <v>0.98697916666666663</v>
      </c>
      <c r="K49" s="82">
        <f t="shared" ref="K49:K112" si="13">J49</f>
        <v>0.98697916666666663</v>
      </c>
      <c r="L49" s="22">
        <f>+K49</f>
        <v>0.98697916666666663</v>
      </c>
      <c r="M49" s="89">
        <f t="shared" ref="M49:M101" si="14">H49/C49</f>
        <v>11.84375</v>
      </c>
    </row>
    <row r="50" spans="1:13" s="4" customFormat="1" ht="12" customHeight="1">
      <c r="A50" s="5" t="s">
        <v>169</v>
      </c>
      <c r="B50" s="5" t="s">
        <v>170</v>
      </c>
      <c r="C50" s="20">
        <v>191.21</v>
      </c>
      <c r="D50" s="20"/>
      <c r="E50" s="21">
        <v>1147.26</v>
      </c>
      <c r="F50" s="21">
        <v>1147.26</v>
      </c>
      <c r="G50" s="21"/>
      <c r="H50" s="23">
        <f t="shared" si="11"/>
        <v>2294.52</v>
      </c>
      <c r="J50" s="22">
        <f t="shared" si="12"/>
        <v>1</v>
      </c>
      <c r="K50" s="82">
        <f t="shared" si="13"/>
        <v>1</v>
      </c>
      <c r="L50" s="22">
        <f>+K50</f>
        <v>1</v>
      </c>
      <c r="M50" s="89">
        <f t="shared" si="14"/>
        <v>12</v>
      </c>
    </row>
    <row r="51" spans="1:13" s="4" customFormat="1" ht="12" customHeight="1">
      <c r="A51" s="5" t="s">
        <v>171</v>
      </c>
      <c r="B51" s="5" t="s">
        <v>172</v>
      </c>
      <c r="C51" s="20">
        <v>22.21</v>
      </c>
      <c r="D51" s="20"/>
      <c r="E51" s="21">
        <v>621.88</v>
      </c>
      <c r="F51" s="21">
        <v>666.3</v>
      </c>
      <c r="G51" s="21"/>
      <c r="H51" s="23">
        <f t="shared" si="11"/>
        <v>1288.1799999999998</v>
      </c>
      <c r="J51" s="22">
        <f t="shared" si="12"/>
        <v>4.833333333333333</v>
      </c>
      <c r="K51" s="82">
        <f t="shared" si="13"/>
        <v>4.833333333333333</v>
      </c>
      <c r="L51" s="22">
        <f>+K51</f>
        <v>4.833333333333333</v>
      </c>
      <c r="M51" s="89">
        <f t="shared" si="14"/>
        <v>57.999999999999993</v>
      </c>
    </row>
    <row r="52" spans="1:13" s="4" customFormat="1" ht="12" customHeight="1">
      <c r="A52" s="5" t="s">
        <v>69</v>
      </c>
      <c r="B52" s="5" t="s">
        <v>70</v>
      </c>
      <c r="C52" s="20">
        <v>96.16</v>
      </c>
      <c r="D52" s="20"/>
      <c r="E52" s="21">
        <v>56157.439999999988</v>
      </c>
      <c r="F52" s="21">
        <v>55003.520000000004</v>
      </c>
      <c r="G52" s="21"/>
      <c r="H52" s="23">
        <f t="shared" si="11"/>
        <v>111160.95999999999</v>
      </c>
      <c r="J52" s="22">
        <f t="shared" si="12"/>
        <v>96.333333333333329</v>
      </c>
      <c r="K52" s="82">
        <f t="shared" si="13"/>
        <v>96.333333333333329</v>
      </c>
      <c r="L52" s="22">
        <f>+K52</f>
        <v>96.333333333333329</v>
      </c>
      <c r="M52" s="89">
        <f t="shared" si="14"/>
        <v>1156</v>
      </c>
    </row>
    <row r="53" spans="1:13" s="4" customFormat="1" ht="12" customHeight="1">
      <c r="A53" s="5" t="s">
        <v>71</v>
      </c>
      <c r="B53" s="5" t="s">
        <v>72</v>
      </c>
      <c r="C53" s="20">
        <v>192.33</v>
      </c>
      <c r="D53" s="20"/>
      <c r="E53" s="21">
        <v>3461.9399999999996</v>
      </c>
      <c r="F53" s="21">
        <v>2211.7900000000004</v>
      </c>
      <c r="G53" s="21"/>
      <c r="H53" s="23">
        <f t="shared" si="11"/>
        <v>5673.73</v>
      </c>
      <c r="J53" s="22">
        <f t="shared" si="12"/>
        <v>2.4583311669179704</v>
      </c>
      <c r="K53" s="82">
        <f t="shared" si="13"/>
        <v>2.4583311669179704</v>
      </c>
      <c r="L53" s="22">
        <f>+K53*2</f>
        <v>4.9166623338359408</v>
      </c>
      <c r="M53" s="89">
        <f t="shared" si="14"/>
        <v>29.499974003015645</v>
      </c>
    </row>
    <row r="54" spans="1:13" s="4" customFormat="1" ht="12" customHeight="1">
      <c r="A54" s="5" t="s">
        <v>173</v>
      </c>
      <c r="B54" s="5" t="s">
        <v>174</v>
      </c>
      <c r="C54" s="20">
        <v>288.5</v>
      </c>
      <c r="D54" s="20"/>
      <c r="E54" s="21">
        <v>1731</v>
      </c>
      <c r="F54" s="21">
        <v>1731</v>
      </c>
      <c r="G54" s="21"/>
      <c r="H54" s="23">
        <f t="shared" si="11"/>
        <v>3462</v>
      </c>
      <c r="J54" s="22">
        <f t="shared" si="12"/>
        <v>1</v>
      </c>
      <c r="K54" s="82">
        <f t="shared" si="13"/>
        <v>1</v>
      </c>
      <c r="L54" s="22">
        <f>+K54*3</f>
        <v>3</v>
      </c>
      <c r="M54" s="89">
        <f t="shared" si="14"/>
        <v>12</v>
      </c>
    </row>
    <row r="55" spans="1:13" s="4" customFormat="1" ht="12" customHeight="1">
      <c r="A55" s="5" t="s">
        <v>175</v>
      </c>
      <c r="B55" s="5" t="s">
        <v>176</v>
      </c>
      <c r="C55" s="20">
        <v>192.33</v>
      </c>
      <c r="D55" s="20"/>
      <c r="E55" s="21">
        <v>6539.2199999999993</v>
      </c>
      <c r="F55" s="21">
        <v>6923.8799999999992</v>
      </c>
      <c r="G55" s="21"/>
      <c r="H55" s="23">
        <f t="shared" si="11"/>
        <v>13463.099999999999</v>
      </c>
      <c r="J55" s="22">
        <f t="shared" si="12"/>
        <v>5.8333333333333321</v>
      </c>
      <c r="K55" s="82">
        <f t="shared" si="13"/>
        <v>5.8333333333333321</v>
      </c>
      <c r="L55" s="22">
        <f t="shared" ref="L55:L61" si="15">+K55</f>
        <v>5.8333333333333321</v>
      </c>
      <c r="M55" s="89">
        <f t="shared" si="14"/>
        <v>69.999999999999986</v>
      </c>
    </row>
    <row r="56" spans="1:13" s="2" customFormat="1" ht="12" customHeight="1">
      <c r="A56" s="5" t="s">
        <v>177</v>
      </c>
      <c r="B56" s="5" t="s">
        <v>178</v>
      </c>
      <c r="C56" s="20">
        <v>288.5</v>
      </c>
      <c r="D56" s="20"/>
      <c r="E56" s="21">
        <v>3462</v>
      </c>
      <c r="F56" s="21">
        <v>3462</v>
      </c>
      <c r="G56" s="21"/>
      <c r="H56" s="23">
        <f t="shared" si="11"/>
        <v>6924</v>
      </c>
      <c r="J56" s="22">
        <f t="shared" si="12"/>
        <v>2</v>
      </c>
      <c r="K56" s="82">
        <f t="shared" si="13"/>
        <v>2</v>
      </c>
      <c r="L56" s="21">
        <f t="shared" si="15"/>
        <v>2</v>
      </c>
      <c r="M56" s="89">
        <f t="shared" si="14"/>
        <v>24</v>
      </c>
    </row>
    <row r="57" spans="1:13" s="4" customFormat="1" ht="12" customHeight="1">
      <c r="A57" s="5" t="s">
        <v>179</v>
      </c>
      <c r="B57" s="5" t="s">
        <v>180</v>
      </c>
      <c r="C57" s="20">
        <v>29.62</v>
      </c>
      <c r="D57" s="20"/>
      <c r="E57" s="21">
        <v>681.26</v>
      </c>
      <c r="F57" s="21">
        <v>533.16</v>
      </c>
      <c r="G57" s="21"/>
      <c r="H57" s="23">
        <f t="shared" si="11"/>
        <v>1214.42</v>
      </c>
      <c r="J57" s="22">
        <f t="shared" si="12"/>
        <v>3.4166666666666665</v>
      </c>
      <c r="K57" s="82">
        <f t="shared" si="13"/>
        <v>3.4166666666666665</v>
      </c>
      <c r="L57" s="22">
        <f t="shared" si="15"/>
        <v>3.4166666666666665</v>
      </c>
      <c r="M57" s="89">
        <f t="shared" si="14"/>
        <v>41</v>
      </c>
    </row>
    <row r="58" spans="1:13" s="4" customFormat="1" ht="12" customHeight="1">
      <c r="A58" s="5" t="s">
        <v>73</v>
      </c>
      <c r="B58" s="5" t="s">
        <v>74</v>
      </c>
      <c r="C58" s="20">
        <v>128.25</v>
      </c>
      <c r="D58" s="20"/>
      <c r="E58" s="21">
        <v>41937.75</v>
      </c>
      <c r="F58" s="21">
        <v>40142.26</v>
      </c>
      <c r="G58" s="21"/>
      <c r="H58" s="23">
        <f t="shared" si="11"/>
        <v>82080.010000000009</v>
      </c>
      <c r="J58" s="22">
        <f t="shared" si="12"/>
        <v>53.333339831059135</v>
      </c>
      <c r="K58" s="82">
        <f t="shared" si="13"/>
        <v>53.333339831059135</v>
      </c>
      <c r="L58" s="22">
        <f t="shared" si="15"/>
        <v>53.333339831059135</v>
      </c>
      <c r="M58" s="89">
        <f t="shared" si="14"/>
        <v>640.00007797270962</v>
      </c>
    </row>
    <row r="59" spans="1:13" s="4" customFormat="1" ht="12" customHeight="1">
      <c r="A59" s="5" t="s">
        <v>181</v>
      </c>
      <c r="B59" s="5" t="s">
        <v>182</v>
      </c>
      <c r="C59" s="20">
        <v>256.5</v>
      </c>
      <c r="D59" s="20"/>
      <c r="E59" s="21">
        <v>3078</v>
      </c>
      <c r="F59" s="21">
        <v>3078</v>
      </c>
      <c r="G59" s="21"/>
      <c r="H59" s="23">
        <f t="shared" si="11"/>
        <v>6156</v>
      </c>
      <c r="J59" s="22">
        <f t="shared" si="12"/>
        <v>2</v>
      </c>
      <c r="K59" s="82">
        <f t="shared" si="13"/>
        <v>2</v>
      </c>
      <c r="L59" s="22">
        <f t="shared" si="15"/>
        <v>2</v>
      </c>
      <c r="M59" s="89">
        <f t="shared" si="14"/>
        <v>24</v>
      </c>
    </row>
    <row r="60" spans="1:13" s="4" customFormat="1" ht="12" customHeight="1">
      <c r="A60" s="5" t="s">
        <v>183</v>
      </c>
      <c r="B60" s="5" t="s">
        <v>184</v>
      </c>
      <c r="C60" s="20">
        <v>384.76</v>
      </c>
      <c r="D60" s="20"/>
      <c r="E60" s="21">
        <v>4617.12</v>
      </c>
      <c r="F60" s="21">
        <v>4617.12</v>
      </c>
      <c r="G60" s="21"/>
      <c r="H60" s="23">
        <f t="shared" si="11"/>
        <v>9234.24</v>
      </c>
      <c r="J60" s="22">
        <f t="shared" si="12"/>
        <v>2</v>
      </c>
      <c r="K60" s="82">
        <f t="shared" si="13"/>
        <v>2</v>
      </c>
      <c r="L60" s="22">
        <f t="shared" si="15"/>
        <v>2</v>
      </c>
      <c r="M60" s="89">
        <f t="shared" si="14"/>
        <v>24</v>
      </c>
    </row>
    <row r="61" spans="1:13" s="4" customFormat="1" ht="12" customHeight="1">
      <c r="A61" s="5" t="s">
        <v>75</v>
      </c>
      <c r="B61" s="5" t="s">
        <v>76</v>
      </c>
      <c r="C61" s="20">
        <v>181.25</v>
      </c>
      <c r="D61" s="20"/>
      <c r="E61" s="21">
        <v>36884.379999999997</v>
      </c>
      <c r="F61" s="21">
        <v>32217.190000000002</v>
      </c>
      <c r="G61" s="21"/>
      <c r="H61" s="23">
        <f t="shared" si="11"/>
        <v>69101.570000000007</v>
      </c>
      <c r="J61" s="22">
        <f t="shared" si="12"/>
        <v>31.770836781609201</v>
      </c>
      <c r="K61" s="82">
        <f t="shared" si="13"/>
        <v>31.770836781609201</v>
      </c>
      <c r="L61" s="22">
        <f t="shared" si="15"/>
        <v>31.770836781609201</v>
      </c>
      <c r="M61" s="89">
        <f t="shared" si="14"/>
        <v>381.2500413793104</v>
      </c>
    </row>
    <row r="62" spans="1:13" s="4" customFormat="1" ht="12" customHeight="1">
      <c r="A62" s="5" t="s">
        <v>77</v>
      </c>
      <c r="B62" s="5" t="s">
        <v>78</v>
      </c>
      <c r="C62" s="20">
        <v>362.5</v>
      </c>
      <c r="D62" s="20"/>
      <c r="E62" s="21">
        <v>8246.880000000001</v>
      </c>
      <c r="F62" s="21">
        <v>8609.39</v>
      </c>
      <c r="G62" s="21"/>
      <c r="H62" s="23">
        <f t="shared" si="11"/>
        <v>16856.27</v>
      </c>
      <c r="J62" s="22">
        <f t="shared" si="12"/>
        <v>3.8750045977011496</v>
      </c>
      <c r="K62" s="82">
        <f t="shared" si="13"/>
        <v>3.8750045977011496</v>
      </c>
      <c r="L62" s="22">
        <f>+K62*2</f>
        <v>7.7500091954022992</v>
      </c>
      <c r="M62" s="89">
        <f t="shared" si="14"/>
        <v>46.500055172413795</v>
      </c>
    </row>
    <row r="63" spans="1:13" s="4" customFormat="1" ht="12" customHeight="1">
      <c r="A63" s="5" t="s">
        <v>185</v>
      </c>
      <c r="B63" s="5" t="s">
        <v>186</v>
      </c>
      <c r="C63" s="20">
        <v>362.5</v>
      </c>
      <c r="D63" s="20"/>
      <c r="E63" s="21">
        <v>8700</v>
      </c>
      <c r="F63" s="21">
        <v>9787.5</v>
      </c>
      <c r="G63" s="21"/>
      <c r="H63" s="23">
        <f t="shared" si="11"/>
        <v>18487.5</v>
      </c>
      <c r="J63" s="22">
        <f t="shared" si="12"/>
        <v>4.25</v>
      </c>
      <c r="K63" s="82">
        <f t="shared" si="13"/>
        <v>4.25</v>
      </c>
      <c r="L63" s="22">
        <f>+K63</f>
        <v>4.25</v>
      </c>
      <c r="M63" s="89">
        <f t="shared" si="14"/>
        <v>51</v>
      </c>
    </row>
    <row r="64" spans="1:13" s="4" customFormat="1" ht="12" customHeight="1">
      <c r="A64" s="5" t="s">
        <v>187</v>
      </c>
      <c r="B64" s="5" t="s">
        <v>188</v>
      </c>
      <c r="C64" s="20">
        <v>543.76</v>
      </c>
      <c r="D64" s="20"/>
      <c r="E64" s="21">
        <v>3262.5600000000004</v>
      </c>
      <c r="F64" s="21">
        <v>3262.5600000000004</v>
      </c>
      <c r="G64" s="21"/>
      <c r="H64" s="23">
        <f t="shared" si="11"/>
        <v>6525.1200000000008</v>
      </c>
      <c r="J64" s="22">
        <f t="shared" si="12"/>
        <v>1.0000000000000002</v>
      </c>
      <c r="K64" s="82">
        <f t="shared" si="13"/>
        <v>1.0000000000000002</v>
      </c>
      <c r="L64" s="22">
        <f>+K64</f>
        <v>1.0000000000000002</v>
      </c>
      <c r="M64" s="89">
        <f t="shared" si="14"/>
        <v>12.000000000000002</v>
      </c>
    </row>
    <row r="65" spans="1:13" s="4" customFormat="1" ht="12" customHeight="1">
      <c r="A65" s="5" t="s">
        <v>79</v>
      </c>
      <c r="B65" s="5" t="s">
        <v>80</v>
      </c>
      <c r="C65" s="20">
        <v>240.83</v>
      </c>
      <c r="D65" s="20"/>
      <c r="E65" s="21">
        <v>20049.099999999999</v>
      </c>
      <c r="F65" s="21">
        <v>18182.68</v>
      </c>
      <c r="G65" s="21"/>
      <c r="H65" s="23">
        <f t="shared" si="11"/>
        <v>38231.78</v>
      </c>
      <c r="J65" s="22">
        <f t="shared" si="12"/>
        <v>13.2291727221138</v>
      </c>
      <c r="K65" s="82">
        <f t="shared" si="13"/>
        <v>13.2291727221138</v>
      </c>
      <c r="L65" s="22">
        <f>+K65</f>
        <v>13.2291727221138</v>
      </c>
      <c r="M65" s="89">
        <f t="shared" si="14"/>
        <v>158.75007266536559</v>
      </c>
    </row>
    <row r="66" spans="1:13" s="4" customFormat="1" ht="12" customHeight="1">
      <c r="A66" s="5" t="s">
        <v>81</v>
      </c>
      <c r="B66" s="5" t="s">
        <v>82</v>
      </c>
      <c r="C66" s="20">
        <v>481.66</v>
      </c>
      <c r="D66" s="20"/>
      <c r="E66" s="21">
        <v>10114.86</v>
      </c>
      <c r="F66" s="21">
        <v>8067.81</v>
      </c>
      <c r="G66" s="21"/>
      <c r="H66" s="23">
        <f t="shared" si="11"/>
        <v>18182.670000000002</v>
      </c>
      <c r="J66" s="22">
        <f t="shared" si="12"/>
        <v>3.14583419839721</v>
      </c>
      <c r="K66" s="82">
        <f t="shared" si="13"/>
        <v>3.14583419839721</v>
      </c>
      <c r="L66" s="22">
        <f>+K66*2</f>
        <v>6.29166839679442</v>
      </c>
      <c r="M66" s="89">
        <f t="shared" si="14"/>
        <v>37.750010380766518</v>
      </c>
    </row>
    <row r="67" spans="1:13" s="4" customFormat="1" ht="12" customHeight="1">
      <c r="A67" s="5" t="s">
        <v>189</v>
      </c>
      <c r="B67" s="5" t="s">
        <v>190</v>
      </c>
      <c r="C67" s="20">
        <v>722.5</v>
      </c>
      <c r="D67" s="20"/>
      <c r="E67" s="21">
        <v>4335</v>
      </c>
      <c r="F67" s="21">
        <v>4335</v>
      </c>
      <c r="G67" s="21"/>
      <c r="H67" s="23">
        <f t="shared" si="11"/>
        <v>8670</v>
      </c>
      <c r="J67" s="22">
        <f t="shared" si="12"/>
        <v>1</v>
      </c>
      <c r="K67" s="82">
        <f t="shared" si="13"/>
        <v>1</v>
      </c>
      <c r="L67" s="22">
        <f>+K67</f>
        <v>1</v>
      </c>
      <c r="M67" s="89">
        <f t="shared" si="14"/>
        <v>12</v>
      </c>
    </row>
    <row r="68" spans="1:13" s="4" customFormat="1" ht="12" customHeight="1">
      <c r="A68" s="5" t="s">
        <v>191</v>
      </c>
      <c r="B68" s="5" t="s">
        <v>192</v>
      </c>
      <c r="C68" s="20">
        <v>963.33</v>
      </c>
      <c r="D68" s="20"/>
      <c r="E68" s="21">
        <v>5779.9800000000005</v>
      </c>
      <c r="F68" s="21">
        <v>5779.9800000000005</v>
      </c>
      <c r="G68" s="21"/>
      <c r="H68" s="23">
        <f t="shared" si="11"/>
        <v>11559.960000000001</v>
      </c>
      <c r="J68" s="22">
        <f t="shared" si="12"/>
        <v>1</v>
      </c>
      <c r="K68" s="82">
        <f t="shared" si="13"/>
        <v>1</v>
      </c>
      <c r="L68" s="22">
        <f>+K68</f>
        <v>1</v>
      </c>
      <c r="M68" s="89">
        <f t="shared" si="14"/>
        <v>12</v>
      </c>
    </row>
    <row r="69" spans="1:13" s="4" customFormat="1" ht="12" customHeight="1">
      <c r="A69" s="5" t="s">
        <v>83</v>
      </c>
      <c r="B69" s="5" t="s">
        <v>84</v>
      </c>
      <c r="C69" s="20">
        <v>350.98</v>
      </c>
      <c r="D69" s="20"/>
      <c r="E69" s="21">
        <v>13512.730000000001</v>
      </c>
      <c r="F69" s="21">
        <v>16847.04</v>
      </c>
      <c r="G69" s="21"/>
      <c r="H69" s="23">
        <f t="shared" si="11"/>
        <v>30359.770000000004</v>
      </c>
      <c r="J69" s="22">
        <f t="shared" si="12"/>
        <v>7.2083333333333348</v>
      </c>
      <c r="K69" s="82">
        <f t="shared" si="13"/>
        <v>7.2083333333333348</v>
      </c>
      <c r="L69" s="22">
        <f>+K69</f>
        <v>7.2083333333333348</v>
      </c>
      <c r="M69" s="89">
        <f t="shared" si="14"/>
        <v>86.500000000000014</v>
      </c>
    </row>
    <row r="70" spans="1:13" s="4" customFormat="1" ht="12" customHeight="1">
      <c r="A70" s="5" t="s">
        <v>85</v>
      </c>
      <c r="B70" s="5" t="s">
        <v>86</v>
      </c>
      <c r="C70" s="20">
        <v>701.97</v>
      </c>
      <c r="D70" s="20"/>
      <c r="E70" s="21">
        <v>4211.8200000000006</v>
      </c>
      <c r="F70" s="21">
        <v>4211.8200000000006</v>
      </c>
      <c r="G70" s="21"/>
      <c r="H70" s="23">
        <f t="shared" si="11"/>
        <v>8423.6400000000012</v>
      </c>
      <c r="J70" s="22">
        <f t="shared" si="12"/>
        <v>1.0000000000000002</v>
      </c>
      <c r="K70" s="82">
        <f t="shared" si="13"/>
        <v>1.0000000000000002</v>
      </c>
      <c r="L70" s="22">
        <f>+K70*2</f>
        <v>2.0000000000000004</v>
      </c>
      <c r="M70" s="89">
        <f t="shared" si="14"/>
        <v>12.000000000000002</v>
      </c>
    </row>
    <row r="71" spans="1:13" s="4" customFormat="1" ht="12" customHeight="1">
      <c r="A71" s="5" t="s">
        <v>193</v>
      </c>
      <c r="B71" s="5" t="s">
        <v>194</v>
      </c>
      <c r="C71" s="20">
        <v>701.97</v>
      </c>
      <c r="D71" s="20"/>
      <c r="E71" s="21">
        <v>4211.8200000000006</v>
      </c>
      <c r="F71" s="21">
        <v>4211.8200000000006</v>
      </c>
      <c r="G71" s="21"/>
      <c r="H71" s="23">
        <f t="shared" si="11"/>
        <v>8423.6400000000012</v>
      </c>
      <c r="J71" s="22">
        <f t="shared" si="12"/>
        <v>1.0000000000000002</v>
      </c>
      <c r="K71" s="82">
        <f t="shared" si="13"/>
        <v>1.0000000000000002</v>
      </c>
      <c r="L71" s="22">
        <f>+K71</f>
        <v>1.0000000000000002</v>
      </c>
      <c r="M71" s="89">
        <f t="shared" si="14"/>
        <v>12.000000000000002</v>
      </c>
    </row>
    <row r="72" spans="1:13" s="4" customFormat="1" ht="12" customHeight="1">
      <c r="A72" s="5" t="s">
        <v>195</v>
      </c>
      <c r="B72" s="5" t="s">
        <v>196</v>
      </c>
      <c r="C72" s="20">
        <v>1403.95</v>
      </c>
      <c r="D72" s="20"/>
      <c r="E72" s="21">
        <v>8423.7000000000007</v>
      </c>
      <c r="F72" s="21">
        <v>8423.7000000000007</v>
      </c>
      <c r="G72" s="21"/>
      <c r="H72" s="23">
        <f t="shared" si="11"/>
        <v>16847.400000000001</v>
      </c>
      <c r="J72" s="22">
        <f t="shared" si="12"/>
        <v>1</v>
      </c>
      <c r="K72" s="82">
        <f t="shared" si="13"/>
        <v>1</v>
      </c>
      <c r="L72" s="22">
        <f>+K72</f>
        <v>1</v>
      </c>
      <c r="M72" s="89">
        <f t="shared" si="14"/>
        <v>12</v>
      </c>
    </row>
    <row r="73" spans="1:13" s="4" customFormat="1" ht="12" customHeight="1">
      <c r="A73" s="5" t="s">
        <v>505</v>
      </c>
      <c r="B73" s="5" t="s">
        <v>506</v>
      </c>
      <c r="C73" s="20">
        <v>1730.48</v>
      </c>
      <c r="D73" s="20"/>
      <c r="E73" s="21">
        <v>10382.879999999999</v>
      </c>
      <c r="F73" s="21">
        <v>10382.879999999999</v>
      </c>
      <c r="G73" s="21"/>
      <c r="H73" s="23">
        <f t="shared" ref="H73" si="16">SUM(E73:F73)</f>
        <v>20765.759999999998</v>
      </c>
      <c r="J73" s="22">
        <f t="shared" si="12"/>
        <v>0.99999999999999989</v>
      </c>
      <c r="K73" s="82">
        <f t="shared" si="13"/>
        <v>0.99999999999999989</v>
      </c>
      <c r="L73" s="22"/>
      <c r="M73" s="89">
        <f t="shared" si="14"/>
        <v>11.999999999999998</v>
      </c>
    </row>
    <row r="74" spans="1:13" s="4" customFormat="1" ht="12" customHeight="1">
      <c r="A74" s="5" t="s">
        <v>197</v>
      </c>
      <c r="B74" s="5" t="s">
        <v>198</v>
      </c>
      <c r="C74" s="20">
        <v>457.46</v>
      </c>
      <c r="D74" s="20"/>
      <c r="E74" s="21">
        <v>2744.7599999999998</v>
      </c>
      <c r="F74" s="21">
        <v>2744.7599999999998</v>
      </c>
      <c r="G74" s="21"/>
      <c r="H74" s="23">
        <f t="shared" si="11"/>
        <v>5489.5199999999995</v>
      </c>
      <c r="J74" s="22">
        <f t="shared" si="12"/>
        <v>1</v>
      </c>
      <c r="K74" s="82">
        <f t="shared" si="13"/>
        <v>1</v>
      </c>
      <c r="L74" s="22">
        <f>+K74</f>
        <v>1</v>
      </c>
      <c r="M74" s="89">
        <f t="shared" si="14"/>
        <v>12</v>
      </c>
    </row>
    <row r="75" spans="1:13" s="4" customFormat="1" ht="12" customHeight="1">
      <c r="A75" s="5" t="s">
        <v>199</v>
      </c>
      <c r="B75" s="5" t="s">
        <v>200</v>
      </c>
      <c r="C75" s="20">
        <v>914.92</v>
      </c>
      <c r="D75" s="20"/>
      <c r="E75" s="21">
        <v>5489.5199999999995</v>
      </c>
      <c r="F75" s="21">
        <v>5489.5199999999995</v>
      </c>
      <c r="G75" s="21"/>
      <c r="H75" s="23">
        <f t="shared" si="11"/>
        <v>10979.039999999999</v>
      </c>
      <c r="J75" s="22">
        <f t="shared" si="12"/>
        <v>1</v>
      </c>
      <c r="K75" s="82">
        <f t="shared" si="13"/>
        <v>1</v>
      </c>
      <c r="L75" s="22">
        <f>+K75</f>
        <v>1</v>
      </c>
      <c r="M75" s="89">
        <f t="shared" si="14"/>
        <v>12</v>
      </c>
    </row>
    <row r="76" spans="1:13" s="4" customFormat="1" ht="12" customHeight="1">
      <c r="A76" s="5" t="s">
        <v>87</v>
      </c>
      <c r="B76" s="5" t="s">
        <v>88</v>
      </c>
      <c r="C76" s="20">
        <v>17.399999999999999</v>
      </c>
      <c r="D76" s="20"/>
      <c r="E76" s="21">
        <v>4963.3499999999995</v>
      </c>
      <c r="F76" s="21">
        <v>5172.1499999999996</v>
      </c>
      <c r="G76" s="21"/>
      <c r="H76" s="23">
        <f t="shared" si="11"/>
        <v>10135.5</v>
      </c>
      <c r="J76" s="22">
        <f t="shared" si="12"/>
        <v>48.541666666666664</v>
      </c>
      <c r="K76" s="82">
        <f t="shared" si="13"/>
        <v>48.541666666666664</v>
      </c>
      <c r="L76" s="22">
        <v>0</v>
      </c>
      <c r="M76" s="89">
        <f t="shared" si="14"/>
        <v>582.5</v>
      </c>
    </row>
    <row r="77" spans="1:13" s="4" customFormat="1" ht="12" customHeight="1">
      <c r="A77" s="5" t="s">
        <v>89</v>
      </c>
      <c r="B77" s="5" t="s">
        <v>90</v>
      </c>
      <c r="C77" s="20">
        <v>34.64</v>
      </c>
      <c r="D77" s="20"/>
      <c r="E77" s="21">
        <v>1333.64</v>
      </c>
      <c r="F77" s="21">
        <v>831.3599999999999</v>
      </c>
      <c r="G77" s="21"/>
      <c r="H77" s="23">
        <f t="shared" si="11"/>
        <v>2165</v>
      </c>
      <c r="J77" s="22">
        <f t="shared" si="12"/>
        <v>5.208333333333333</v>
      </c>
      <c r="K77" s="82">
        <f t="shared" si="13"/>
        <v>5.208333333333333</v>
      </c>
      <c r="L77" s="22">
        <v>0</v>
      </c>
      <c r="M77" s="89">
        <f t="shared" si="14"/>
        <v>62.5</v>
      </c>
    </row>
    <row r="78" spans="1:13" s="4" customFormat="1" ht="12" customHeight="1">
      <c r="A78" s="5" t="s">
        <v>515</v>
      </c>
      <c r="B78" s="5" t="s">
        <v>516</v>
      </c>
      <c r="C78" s="20">
        <v>51.96</v>
      </c>
      <c r="D78" s="20"/>
      <c r="E78" s="21">
        <v>0</v>
      </c>
      <c r="F78" s="21">
        <v>77.94</v>
      </c>
      <c r="G78" s="21"/>
      <c r="H78" s="23">
        <f t="shared" ref="H78" si="17">SUM(E78:F78)</f>
        <v>77.94</v>
      </c>
      <c r="J78" s="22">
        <f t="shared" si="12"/>
        <v>0.125</v>
      </c>
      <c r="K78" s="82">
        <f t="shared" si="13"/>
        <v>0.125</v>
      </c>
      <c r="L78" s="22"/>
      <c r="M78" s="89">
        <f t="shared" si="14"/>
        <v>1.5</v>
      </c>
    </row>
    <row r="79" spans="1:13" s="4" customFormat="1" ht="12" customHeight="1">
      <c r="A79" s="5" t="s">
        <v>91</v>
      </c>
      <c r="B79" s="5" t="s">
        <v>92</v>
      </c>
      <c r="C79" s="20">
        <v>32.39</v>
      </c>
      <c r="D79" s="20"/>
      <c r="E79" s="21">
        <v>5530.5899999999992</v>
      </c>
      <c r="F79" s="21">
        <v>5951.68</v>
      </c>
      <c r="G79" s="21"/>
      <c r="H79" s="23">
        <f t="shared" si="11"/>
        <v>11482.27</v>
      </c>
      <c r="J79" s="22">
        <f t="shared" si="12"/>
        <v>29.541705258824738</v>
      </c>
      <c r="K79" s="82">
        <f t="shared" si="13"/>
        <v>29.541705258824738</v>
      </c>
      <c r="L79" s="22">
        <f>+K79</f>
        <v>29.541705258824738</v>
      </c>
      <c r="M79" s="89">
        <f t="shared" si="14"/>
        <v>354.50046310589687</v>
      </c>
    </row>
    <row r="80" spans="1:13" s="4" customFormat="1" ht="12" customHeight="1">
      <c r="A80" s="5" t="s">
        <v>285</v>
      </c>
      <c r="B80" s="5" t="s">
        <v>288</v>
      </c>
      <c r="C80" s="20">
        <v>64.77</v>
      </c>
      <c r="D80" s="20"/>
      <c r="E80" s="21">
        <v>1554.4799999999998</v>
      </c>
      <c r="F80" s="21">
        <v>1554.4799999999998</v>
      </c>
      <c r="G80" s="21"/>
      <c r="H80" s="23">
        <f t="shared" ref="H80" si="18">SUM(E80:F80)</f>
        <v>3108.9599999999996</v>
      </c>
      <c r="J80" s="22">
        <f t="shared" si="12"/>
        <v>4</v>
      </c>
      <c r="K80" s="82">
        <f t="shared" si="13"/>
        <v>4</v>
      </c>
      <c r="L80" s="22">
        <f>K80*2</f>
        <v>8</v>
      </c>
      <c r="M80" s="89">
        <f t="shared" si="14"/>
        <v>48</v>
      </c>
    </row>
    <row r="81" spans="1:13" s="4" customFormat="1" ht="12" customHeight="1">
      <c r="A81" s="5" t="s">
        <v>201</v>
      </c>
      <c r="B81" s="5" t="s">
        <v>202</v>
      </c>
      <c r="C81" s="20">
        <v>161.94</v>
      </c>
      <c r="D81" s="20"/>
      <c r="E81" s="21">
        <v>971.6400000000001</v>
      </c>
      <c r="F81" s="21">
        <v>971.6400000000001</v>
      </c>
      <c r="G81" s="21"/>
      <c r="H81" s="23">
        <f t="shared" si="11"/>
        <v>1943.2800000000002</v>
      </c>
      <c r="J81" s="22">
        <f t="shared" si="12"/>
        <v>1.0000000000000002</v>
      </c>
      <c r="K81" s="82">
        <f t="shared" si="13"/>
        <v>1.0000000000000002</v>
      </c>
      <c r="L81" s="22">
        <f>+K81*5</f>
        <v>5.0000000000000009</v>
      </c>
      <c r="M81" s="89">
        <f t="shared" si="14"/>
        <v>12.000000000000002</v>
      </c>
    </row>
    <row r="82" spans="1:13" s="4" customFormat="1" ht="12" customHeight="1">
      <c r="A82" s="5" t="s">
        <v>93</v>
      </c>
      <c r="B82" s="5" t="s">
        <v>94</v>
      </c>
      <c r="C82" s="20">
        <v>38.68</v>
      </c>
      <c r="D82" s="20"/>
      <c r="E82" s="21">
        <v>32303.5</v>
      </c>
      <c r="F82" s="21">
        <v>30911.14</v>
      </c>
      <c r="G82" s="21"/>
      <c r="H82" s="23">
        <f t="shared" si="11"/>
        <v>63214.64</v>
      </c>
      <c r="J82" s="22">
        <f t="shared" si="12"/>
        <v>136.19148569458807</v>
      </c>
      <c r="K82" s="82">
        <f t="shared" si="13"/>
        <v>136.19148569458807</v>
      </c>
      <c r="L82" s="22">
        <f>+K82</f>
        <v>136.19148569458807</v>
      </c>
      <c r="M82" s="89">
        <f t="shared" si="14"/>
        <v>1634.2978283350569</v>
      </c>
    </row>
    <row r="83" spans="1:13" s="4" customFormat="1" ht="12" customHeight="1">
      <c r="A83" s="5" t="s">
        <v>95</v>
      </c>
      <c r="B83" s="5" t="s">
        <v>96</v>
      </c>
      <c r="C83" s="20">
        <v>77.33</v>
      </c>
      <c r="D83" s="20"/>
      <c r="E83" s="21">
        <v>7037.0399999999991</v>
      </c>
      <c r="F83" s="21">
        <v>6418.3899999999994</v>
      </c>
      <c r="G83" s="21"/>
      <c r="H83" s="23">
        <f t="shared" si="11"/>
        <v>13455.429999999998</v>
      </c>
      <c r="J83" s="22">
        <f t="shared" si="12"/>
        <v>14.500010776326564</v>
      </c>
      <c r="K83" s="82">
        <f t="shared" si="13"/>
        <v>14.500010776326564</v>
      </c>
      <c r="L83" s="22">
        <f>+K83*2</f>
        <v>29.000021552653127</v>
      </c>
      <c r="M83" s="89">
        <f t="shared" si="14"/>
        <v>174.00012931591877</v>
      </c>
    </row>
    <row r="84" spans="1:13" s="4" customFormat="1" ht="12" customHeight="1">
      <c r="A84" s="5" t="s">
        <v>203</v>
      </c>
      <c r="B84" s="5" t="s">
        <v>204</v>
      </c>
      <c r="C84" s="20">
        <v>77.33</v>
      </c>
      <c r="D84" s="20"/>
      <c r="E84" s="21">
        <v>889.3</v>
      </c>
      <c r="F84" s="21">
        <v>463.97999999999996</v>
      </c>
      <c r="G84" s="21"/>
      <c r="H84" s="23">
        <f t="shared" si="11"/>
        <v>1353.28</v>
      </c>
      <c r="J84" s="22">
        <f t="shared" si="12"/>
        <v>1.4583387214966164</v>
      </c>
      <c r="K84" s="82">
        <f t="shared" si="13"/>
        <v>1.4583387214966164</v>
      </c>
      <c r="L84" s="22">
        <f>+K84</f>
        <v>1.4583387214966164</v>
      </c>
      <c r="M84" s="89">
        <f t="shared" si="14"/>
        <v>17.500064657959395</v>
      </c>
    </row>
    <row r="85" spans="1:13" s="4" customFormat="1" ht="12" customHeight="1">
      <c r="A85" s="5" t="s">
        <v>205</v>
      </c>
      <c r="B85" s="5" t="s">
        <v>206</v>
      </c>
      <c r="C85" s="20">
        <v>309.33</v>
      </c>
      <c r="D85" s="20"/>
      <c r="E85" s="21">
        <v>1855.9799999999998</v>
      </c>
      <c r="F85" s="21">
        <v>1855.9799999999998</v>
      </c>
      <c r="G85" s="21"/>
      <c r="H85" s="23">
        <f t="shared" si="11"/>
        <v>3711.9599999999996</v>
      </c>
      <c r="J85" s="22">
        <f t="shared" si="12"/>
        <v>1</v>
      </c>
      <c r="K85" s="82">
        <f t="shared" si="13"/>
        <v>1</v>
      </c>
      <c r="L85" s="22">
        <f>+K85*4</f>
        <v>4</v>
      </c>
      <c r="M85" s="89">
        <f t="shared" si="14"/>
        <v>12</v>
      </c>
    </row>
    <row r="86" spans="1:13" s="4" customFormat="1" ht="12" customHeight="1">
      <c r="A86" s="5" t="s">
        <v>103</v>
      </c>
      <c r="B86" s="5" t="s">
        <v>104</v>
      </c>
      <c r="C86" s="20">
        <v>11</v>
      </c>
      <c r="D86" s="20"/>
      <c r="E86" s="21">
        <v>198</v>
      </c>
      <c r="F86" s="21">
        <v>121</v>
      </c>
      <c r="G86" s="21"/>
      <c r="H86" s="23">
        <f t="shared" si="11"/>
        <v>319</v>
      </c>
      <c r="J86" s="22">
        <f t="shared" si="12"/>
        <v>2.4166666666666665</v>
      </c>
      <c r="K86" s="82">
        <f t="shared" si="13"/>
        <v>2.4166666666666665</v>
      </c>
      <c r="L86" s="22"/>
      <c r="M86" s="89">
        <f t="shared" si="14"/>
        <v>29</v>
      </c>
    </row>
    <row r="87" spans="1:13" s="4" customFormat="1" ht="12" customHeight="1">
      <c r="A87" s="5" t="s">
        <v>111</v>
      </c>
      <c r="B87" s="5" t="s">
        <v>112</v>
      </c>
      <c r="C87" s="20">
        <v>4</v>
      </c>
      <c r="D87" s="20"/>
      <c r="E87" s="21">
        <v>5791.91</v>
      </c>
      <c r="F87" s="21">
        <v>6076</v>
      </c>
      <c r="G87" s="21"/>
      <c r="H87" s="23">
        <f t="shared" si="11"/>
        <v>11867.91</v>
      </c>
      <c r="J87" s="22">
        <f t="shared" si="12"/>
        <v>247.24812499999999</v>
      </c>
      <c r="K87" s="82">
        <f t="shared" si="13"/>
        <v>247.24812499999999</v>
      </c>
      <c r="L87" s="22"/>
      <c r="M87" s="89">
        <f t="shared" si="14"/>
        <v>2966.9775</v>
      </c>
    </row>
    <row r="88" spans="1:13" s="4" customFormat="1" ht="12" customHeight="1">
      <c r="A88" s="5" t="s">
        <v>223</v>
      </c>
      <c r="B88" s="5" t="s">
        <v>224</v>
      </c>
      <c r="C88" s="20">
        <v>3.91</v>
      </c>
      <c r="D88" s="20"/>
      <c r="E88" s="21">
        <v>7.82</v>
      </c>
      <c r="F88" s="21">
        <v>0</v>
      </c>
      <c r="G88" s="21"/>
      <c r="H88" s="23">
        <f t="shared" si="11"/>
        <v>7.82</v>
      </c>
      <c r="J88" s="22">
        <f t="shared" si="12"/>
        <v>0.16666666666666666</v>
      </c>
      <c r="K88" s="82">
        <f t="shared" si="13"/>
        <v>0.16666666666666666</v>
      </c>
      <c r="L88" s="22"/>
      <c r="M88" s="89">
        <f t="shared" si="14"/>
        <v>2</v>
      </c>
    </row>
    <row r="89" spans="1:13" s="4" customFormat="1" ht="12" customHeight="1">
      <c r="A89" s="5" t="s">
        <v>225</v>
      </c>
      <c r="B89" s="5" t="s">
        <v>226</v>
      </c>
      <c r="C89" s="20">
        <v>3.91</v>
      </c>
      <c r="D89" s="20"/>
      <c r="E89" s="21">
        <v>3.91</v>
      </c>
      <c r="F89" s="21">
        <v>3.91</v>
      </c>
      <c r="G89" s="21"/>
      <c r="H89" s="23">
        <f t="shared" si="11"/>
        <v>7.82</v>
      </c>
      <c r="J89" s="22">
        <f t="shared" si="12"/>
        <v>0.16666666666666666</v>
      </c>
      <c r="K89" s="82">
        <f t="shared" si="13"/>
        <v>0.16666666666666666</v>
      </c>
      <c r="L89" s="22"/>
      <c r="M89" s="89">
        <f t="shared" si="14"/>
        <v>2</v>
      </c>
    </row>
    <row r="90" spans="1:13" s="4" customFormat="1" ht="12" customHeight="1">
      <c r="A90" s="5" t="s">
        <v>207</v>
      </c>
      <c r="B90" s="5" t="s">
        <v>208</v>
      </c>
      <c r="C90" s="20">
        <v>35.979999999999997</v>
      </c>
      <c r="D90" s="20"/>
      <c r="E90" s="21">
        <v>503.72</v>
      </c>
      <c r="F90" s="21">
        <v>143.91999999999999</v>
      </c>
      <c r="G90" s="21"/>
      <c r="H90" s="23">
        <f t="shared" si="11"/>
        <v>647.64</v>
      </c>
      <c r="J90" s="22">
        <f t="shared" si="12"/>
        <v>1.5</v>
      </c>
      <c r="K90" s="82">
        <f t="shared" si="13"/>
        <v>1.5</v>
      </c>
      <c r="L90" s="22">
        <f t="shared" ref="L90:L100" si="19">+K90</f>
        <v>1.5</v>
      </c>
      <c r="M90" s="89">
        <f t="shared" si="14"/>
        <v>18</v>
      </c>
    </row>
    <row r="91" spans="1:13" s="4" customFormat="1" ht="12" customHeight="1">
      <c r="A91" s="5" t="s">
        <v>97</v>
      </c>
      <c r="B91" s="5" t="s">
        <v>98</v>
      </c>
      <c r="C91" s="20">
        <v>51.73</v>
      </c>
      <c r="D91" s="20"/>
      <c r="E91" s="21">
        <v>827.68000000000006</v>
      </c>
      <c r="F91" s="21">
        <v>672.49</v>
      </c>
      <c r="G91" s="21"/>
      <c r="H91" s="23">
        <f t="shared" si="11"/>
        <v>1500.17</v>
      </c>
      <c r="J91" s="22">
        <f t="shared" si="12"/>
        <v>2.416666666666667</v>
      </c>
      <c r="K91" s="82">
        <f t="shared" si="13"/>
        <v>2.416666666666667</v>
      </c>
      <c r="L91" s="22">
        <f t="shared" si="19"/>
        <v>2.416666666666667</v>
      </c>
      <c r="M91" s="89">
        <f t="shared" si="14"/>
        <v>29.000000000000004</v>
      </c>
    </row>
    <row r="92" spans="1:13" s="4" customFormat="1" ht="12" customHeight="1">
      <c r="A92" s="5" t="s">
        <v>211</v>
      </c>
      <c r="B92" s="5" t="s">
        <v>212</v>
      </c>
      <c r="C92" s="20">
        <v>60.91</v>
      </c>
      <c r="D92" s="20"/>
      <c r="E92" s="21">
        <v>487.28</v>
      </c>
      <c r="F92" s="21">
        <v>609.09999999999991</v>
      </c>
      <c r="G92" s="21"/>
      <c r="H92" s="23">
        <f t="shared" si="11"/>
        <v>1096.3799999999999</v>
      </c>
      <c r="J92" s="22">
        <f t="shared" si="12"/>
        <v>1.5</v>
      </c>
      <c r="K92" s="82">
        <f t="shared" si="13"/>
        <v>1.5</v>
      </c>
      <c r="L92" s="22">
        <f t="shared" si="19"/>
        <v>1.5</v>
      </c>
      <c r="M92" s="89">
        <f t="shared" si="14"/>
        <v>18</v>
      </c>
    </row>
    <row r="93" spans="1:13" s="4" customFormat="1" ht="12" customHeight="1">
      <c r="A93" s="5" t="s">
        <v>213</v>
      </c>
      <c r="B93" s="5" t="s">
        <v>214</v>
      </c>
      <c r="C93" s="20">
        <v>78.459999999999994</v>
      </c>
      <c r="D93" s="20"/>
      <c r="E93" s="21">
        <v>-11</v>
      </c>
      <c r="F93" s="21">
        <v>392.29999999999995</v>
      </c>
      <c r="G93" s="21"/>
      <c r="H93" s="23">
        <f t="shared" si="11"/>
        <v>381.29999999999995</v>
      </c>
      <c r="J93" s="22">
        <f t="shared" si="12"/>
        <v>0.4049834310476676</v>
      </c>
      <c r="K93" s="82">
        <f t="shared" si="13"/>
        <v>0.4049834310476676</v>
      </c>
      <c r="L93" s="22">
        <f t="shared" si="19"/>
        <v>0.4049834310476676</v>
      </c>
      <c r="M93" s="89">
        <f t="shared" si="14"/>
        <v>4.8598011725720109</v>
      </c>
    </row>
    <row r="94" spans="1:13" s="4" customFormat="1" ht="12" customHeight="1">
      <c r="A94" s="5" t="s">
        <v>107</v>
      </c>
      <c r="B94" s="5" t="s">
        <v>108</v>
      </c>
      <c r="C94" s="20">
        <v>97.17</v>
      </c>
      <c r="D94" s="20"/>
      <c r="E94" s="21">
        <v>388.68</v>
      </c>
      <c r="F94" s="21">
        <v>971.69999999999993</v>
      </c>
      <c r="G94" s="21"/>
      <c r="H94" s="23">
        <f t="shared" si="11"/>
        <v>1360.3799999999999</v>
      </c>
      <c r="J94" s="22">
        <f t="shared" si="12"/>
        <v>1.1666666666666665</v>
      </c>
      <c r="K94" s="82">
        <f t="shared" si="13"/>
        <v>1.1666666666666665</v>
      </c>
      <c r="L94" s="22">
        <f t="shared" si="19"/>
        <v>1.1666666666666665</v>
      </c>
      <c r="M94" s="89">
        <f t="shared" si="14"/>
        <v>13.999999999999998</v>
      </c>
    </row>
    <row r="95" spans="1:13" s="4" customFormat="1" ht="12" customHeight="1">
      <c r="A95" s="5" t="s">
        <v>520</v>
      </c>
      <c r="B95" s="5" t="s">
        <v>521</v>
      </c>
      <c r="C95" s="20">
        <v>129.83000000000001</v>
      </c>
      <c r="D95" s="20"/>
      <c r="E95" s="21">
        <v>81.06</v>
      </c>
      <c r="F95" s="21">
        <v>0</v>
      </c>
      <c r="G95" s="21"/>
      <c r="H95" s="23">
        <f t="shared" si="11"/>
        <v>81.06</v>
      </c>
      <c r="J95" s="22">
        <f t="shared" si="12"/>
        <v>5.2029577139336057E-2</v>
      </c>
      <c r="K95" s="82">
        <f t="shared" si="13"/>
        <v>5.2029577139336057E-2</v>
      </c>
      <c r="L95" s="22">
        <f t="shared" si="19"/>
        <v>5.2029577139336057E-2</v>
      </c>
      <c r="M95" s="89">
        <f t="shared" si="14"/>
        <v>0.62435492567203266</v>
      </c>
    </row>
    <row r="96" spans="1:13" s="4" customFormat="1" ht="12" customHeight="1">
      <c r="A96" s="5" t="s">
        <v>99</v>
      </c>
      <c r="B96" s="5" t="s">
        <v>100</v>
      </c>
      <c r="C96" s="20">
        <v>25.93</v>
      </c>
      <c r="D96" s="20"/>
      <c r="E96" s="21">
        <v>155.57999999999998</v>
      </c>
      <c r="F96" s="21">
        <v>77.789999999999992</v>
      </c>
      <c r="G96" s="21"/>
      <c r="H96" s="23">
        <f t="shared" si="11"/>
        <v>233.36999999999998</v>
      </c>
      <c r="J96" s="22">
        <f t="shared" si="12"/>
        <v>0.75</v>
      </c>
      <c r="K96" s="82">
        <f t="shared" si="13"/>
        <v>0.75</v>
      </c>
      <c r="L96" s="22">
        <f t="shared" si="19"/>
        <v>0.75</v>
      </c>
      <c r="M96" s="89">
        <f t="shared" si="14"/>
        <v>9</v>
      </c>
    </row>
    <row r="97" spans="1:13" s="4" customFormat="1" ht="12" customHeight="1">
      <c r="A97" s="5" t="s">
        <v>209</v>
      </c>
      <c r="B97" s="5" t="s">
        <v>210</v>
      </c>
      <c r="C97" s="20">
        <v>17.2</v>
      </c>
      <c r="D97" s="20"/>
      <c r="E97" s="21">
        <v>86</v>
      </c>
      <c r="F97" s="21">
        <v>137.6</v>
      </c>
      <c r="G97" s="21"/>
      <c r="H97" s="23">
        <f t="shared" si="11"/>
        <v>223.6</v>
      </c>
      <c r="J97" s="22">
        <f t="shared" si="12"/>
        <v>1.0833333333333333</v>
      </c>
      <c r="K97" s="82">
        <f t="shared" si="13"/>
        <v>1.0833333333333333</v>
      </c>
      <c r="L97" s="22">
        <f t="shared" si="19"/>
        <v>1.0833333333333333</v>
      </c>
      <c r="M97" s="89">
        <f t="shared" si="14"/>
        <v>13</v>
      </c>
    </row>
    <row r="98" spans="1:13" s="4" customFormat="1" ht="12" customHeight="1">
      <c r="A98" s="5" t="s">
        <v>101</v>
      </c>
      <c r="B98" s="5" t="s">
        <v>102</v>
      </c>
      <c r="C98" s="20">
        <v>35.82</v>
      </c>
      <c r="D98" s="20"/>
      <c r="E98" s="21">
        <v>71.64</v>
      </c>
      <c r="F98" s="21">
        <v>573.12</v>
      </c>
      <c r="G98" s="21"/>
      <c r="H98" s="23">
        <f t="shared" si="11"/>
        <v>644.76</v>
      </c>
      <c r="J98" s="22">
        <f t="shared" si="12"/>
        <v>1.5</v>
      </c>
      <c r="K98" s="82">
        <f t="shared" si="13"/>
        <v>1.5</v>
      </c>
      <c r="L98" s="22">
        <f t="shared" si="19"/>
        <v>1.5</v>
      </c>
      <c r="M98" s="89">
        <f t="shared" si="14"/>
        <v>18</v>
      </c>
    </row>
    <row r="99" spans="1:13" s="4" customFormat="1" ht="12" customHeight="1">
      <c r="A99" s="5" t="s">
        <v>105</v>
      </c>
      <c r="B99" s="5" t="s">
        <v>106</v>
      </c>
      <c r="C99" s="20">
        <v>48.05</v>
      </c>
      <c r="D99" s="20"/>
      <c r="E99" s="21">
        <v>384.4</v>
      </c>
      <c r="F99" s="21">
        <v>192.2</v>
      </c>
      <c r="G99" s="21"/>
      <c r="H99" s="23">
        <f t="shared" si="11"/>
        <v>576.59999999999991</v>
      </c>
      <c r="J99" s="22">
        <f t="shared" si="12"/>
        <v>0.99999999999999989</v>
      </c>
      <c r="K99" s="82">
        <f t="shared" si="13"/>
        <v>0.99999999999999989</v>
      </c>
      <c r="L99" s="22">
        <f t="shared" si="19"/>
        <v>0.99999999999999989</v>
      </c>
      <c r="M99" s="89">
        <f t="shared" si="14"/>
        <v>11.999999999999998</v>
      </c>
    </row>
    <row r="100" spans="1:13" s="4" customFormat="1" ht="12" customHeight="1">
      <c r="A100" s="5" t="s">
        <v>109</v>
      </c>
      <c r="B100" s="5" t="s">
        <v>110</v>
      </c>
      <c r="C100" s="20">
        <v>63.05</v>
      </c>
      <c r="D100" s="20"/>
      <c r="E100" s="21">
        <v>2585.0499999999997</v>
      </c>
      <c r="F100" s="21">
        <v>2332.85</v>
      </c>
      <c r="G100" s="21"/>
      <c r="H100" s="23">
        <f t="shared" si="11"/>
        <v>4917.8999999999996</v>
      </c>
      <c r="J100" s="22">
        <f t="shared" si="12"/>
        <v>6.5</v>
      </c>
      <c r="K100" s="82">
        <f t="shared" si="13"/>
        <v>6.5</v>
      </c>
      <c r="L100" s="22">
        <f t="shared" si="19"/>
        <v>6.5</v>
      </c>
      <c r="M100" s="89">
        <f t="shared" si="14"/>
        <v>78</v>
      </c>
    </row>
    <row r="101" spans="1:13" s="4" customFormat="1" ht="12" customHeight="1">
      <c r="A101" s="5" t="s">
        <v>113</v>
      </c>
      <c r="B101" s="5" t="s">
        <v>114</v>
      </c>
      <c r="C101" s="20">
        <v>19.559999999999999</v>
      </c>
      <c r="D101" s="20"/>
      <c r="E101" s="21">
        <v>3228.3999999999996</v>
      </c>
      <c r="F101" s="21">
        <v>1995.12</v>
      </c>
      <c r="G101" s="21"/>
      <c r="H101" s="23">
        <f t="shared" si="11"/>
        <v>5223.5199999999995</v>
      </c>
      <c r="J101" s="22">
        <f t="shared" si="12"/>
        <v>22.254260395364692</v>
      </c>
      <c r="K101" s="82">
        <f t="shared" si="13"/>
        <v>22.254260395364692</v>
      </c>
      <c r="L101" s="22"/>
      <c r="M101" s="89">
        <f t="shared" si="14"/>
        <v>267.0511247443763</v>
      </c>
    </row>
    <row r="102" spans="1:13" s="4" customFormat="1" ht="12" customHeight="1">
      <c r="A102" s="5" t="s">
        <v>115</v>
      </c>
      <c r="B102" s="5" t="s">
        <v>116</v>
      </c>
      <c r="C102" s="20">
        <v>12.15</v>
      </c>
      <c r="D102" s="20"/>
      <c r="E102" s="21">
        <v>7414.54</v>
      </c>
      <c r="F102" s="21">
        <v>7156.36</v>
      </c>
      <c r="G102" s="21"/>
      <c r="H102" s="23">
        <f t="shared" si="11"/>
        <v>14570.9</v>
      </c>
      <c r="J102" s="22">
        <f t="shared" ref="J102:J121" si="20">IFERROR((H102/$C102)/12,0)</f>
        <v>99.937585733882031</v>
      </c>
      <c r="K102" s="82">
        <f t="shared" si="13"/>
        <v>99.937585733882031</v>
      </c>
      <c r="L102" s="22"/>
      <c r="M102" s="89">
        <f t="shared" ref="M102:M121" si="21">H102/C102</f>
        <v>1199.2510288065844</v>
      </c>
    </row>
    <row r="103" spans="1:13" s="4" customFormat="1" ht="12" customHeight="1">
      <c r="A103" s="5" t="s">
        <v>117</v>
      </c>
      <c r="B103" s="5" t="s">
        <v>118</v>
      </c>
      <c r="C103" s="20">
        <v>24.53</v>
      </c>
      <c r="D103" s="20"/>
      <c r="E103" s="21">
        <v>71.36</v>
      </c>
      <c r="F103" s="21">
        <v>128.22499999999999</v>
      </c>
      <c r="G103" s="21"/>
      <c r="H103" s="23">
        <f t="shared" si="11"/>
        <v>199.58499999999998</v>
      </c>
      <c r="J103" s="22">
        <f t="shared" si="20"/>
        <v>0.67803030303030287</v>
      </c>
      <c r="K103" s="82">
        <f t="shared" si="13"/>
        <v>0.67803030303030287</v>
      </c>
      <c r="L103" s="22"/>
      <c r="M103" s="89">
        <f t="shared" si="21"/>
        <v>8.1363636363636349</v>
      </c>
    </row>
    <row r="104" spans="1:13" s="4" customFormat="1" ht="12" customHeight="1">
      <c r="A104" s="5" t="s">
        <v>119</v>
      </c>
      <c r="B104" s="5" t="s">
        <v>120</v>
      </c>
      <c r="C104" s="20">
        <v>10.11</v>
      </c>
      <c r="D104" s="20"/>
      <c r="E104" s="21">
        <v>15053.829999999998</v>
      </c>
      <c r="F104" s="21">
        <v>15061.41</v>
      </c>
      <c r="G104" s="21"/>
      <c r="H104" s="23">
        <f t="shared" si="11"/>
        <v>30115.239999999998</v>
      </c>
      <c r="J104" s="22">
        <f t="shared" si="20"/>
        <v>248.22980547312889</v>
      </c>
      <c r="K104" s="82">
        <f t="shared" si="13"/>
        <v>248.22980547312889</v>
      </c>
      <c r="L104" s="22"/>
      <c r="M104" s="89">
        <f t="shared" si="21"/>
        <v>2978.7576656775468</v>
      </c>
    </row>
    <row r="105" spans="1:13" s="35" customFormat="1" ht="12" customHeight="1">
      <c r="A105" s="5" t="s">
        <v>215</v>
      </c>
      <c r="B105" s="5" t="s">
        <v>216</v>
      </c>
      <c r="C105" s="20">
        <v>22.3</v>
      </c>
      <c r="D105" s="34"/>
      <c r="E105" s="21">
        <v>78.050000000000011</v>
      </c>
      <c r="F105" s="21">
        <v>89.2</v>
      </c>
      <c r="G105" s="21"/>
      <c r="H105" s="23">
        <f t="shared" si="11"/>
        <v>167.25</v>
      </c>
      <c r="J105" s="22">
        <f t="shared" si="20"/>
        <v>0.625</v>
      </c>
      <c r="K105" s="82">
        <f t="shared" si="13"/>
        <v>0.625</v>
      </c>
      <c r="L105" s="22"/>
      <c r="M105" s="89">
        <f t="shared" si="21"/>
        <v>7.5</v>
      </c>
    </row>
    <row r="106" spans="1:13" s="35" customFormat="1" ht="12" customHeight="1">
      <c r="A106" s="5" t="s">
        <v>121</v>
      </c>
      <c r="B106" s="5" t="s">
        <v>122</v>
      </c>
      <c r="C106" s="20">
        <v>16.690000000000001</v>
      </c>
      <c r="D106" s="34"/>
      <c r="E106" s="21">
        <v>5758.0500000000011</v>
      </c>
      <c r="F106" s="21">
        <v>5524.4000000000005</v>
      </c>
      <c r="G106" s="21"/>
      <c r="H106" s="23">
        <f t="shared" si="11"/>
        <v>11282.45</v>
      </c>
      <c r="J106" s="22">
        <f t="shared" si="20"/>
        <v>56.333383263431195</v>
      </c>
      <c r="K106" s="82">
        <f t="shared" si="13"/>
        <v>56.333383263431195</v>
      </c>
      <c r="L106" s="22"/>
      <c r="M106" s="89">
        <f t="shared" si="21"/>
        <v>676.00059916117436</v>
      </c>
    </row>
    <row r="107" spans="1:13" s="4" customFormat="1" ht="12" customHeight="1">
      <c r="A107" s="5" t="s">
        <v>123</v>
      </c>
      <c r="B107" s="5" t="s">
        <v>124</v>
      </c>
      <c r="C107" s="20">
        <v>33.44</v>
      </c>
      <c r="D107" s="20"/>
      <c r="E107" s="21">
        <v>26.759999999999998</v>
      </c>
      <c r="F107" s="21">
        <v>384.56</v>
      </c>
      <c r="G107" s="21"/>
      <c r="H107" s="23">
        <f t="shared" si="11"/>
        <v>411.32</v>
      </c>
      <c r="J107" s="22">
        <f t="shared" si="20"/>
        <v>1.0250199362041468</v>
      </c>
      <c r="K107" s="82">
        <f t="shared" si="13"/>
        <v>1.0250199362041468</v>
      </c>
      <c r="L107" s="22"/>
      <c r="M107" s="89">
        <f t="shared" si="21"/>
        <v>12.300239234449762</v>
      </c>
    </row>
    <row r="108" spans="1:13" s="4" customFormat="1" ht="12" customHeight="1">
      <c r="A108" s="5" t="s">
        <v>125</v>
      </c>
      <c r="B108" s="5" t="s">
        <v>126</v>
      </c>
      <c r="C108" s="20">
        <v>20.59</v>
      </c>
      <c r="D108" s="20"/>
      <c r="E108" s="21">
        <v>5235.01</v>
      </c>
      <c r="F108" s="21">
        <v>4771.7299999999996</v>
      </c>
      <c r="G108" s="21"/>
      <c r="H108" s="23">
        <f t="shared" ref="H108:H121" si="22">SUM(E108:F108)</f>
        <v>10006.74</v>
      </c>
      <c r="J108" s="22">
        <f t="shared" si="20"/>
        <v>40.5</v>
      </c>
      <c r="K108" s="82">
        <f t="shared" si="13"/>
        <v>40.5</v>
      </c>
      <c r="L108" s="22"/>
      <c r="M108" s="89">
        <f t="shared" si="21"/>
        <v>486</v>
      </c>
    </row>
    <row r="109" spans="1:13" s="4" customFormat="1" ht="12" customHeight="1">
      <c r="A109" s="5" t="s">
        <v>217</v>
      </c>
      <c r="B109" s="5" t="s">
        <v>218</v>
      </c>
      <c r="C109" s="20">
        <v>40.130000000000003</v>
      </c>
      <c r="D109" s="20"/>
      <c r="E109" s="21">
        <v>400.16</v>
      </c>
      <c r="F109" s="21">
        <v>274.23</v>
      </c>
      <c r="G109" s="21"/>
      <c r="H109" s="23">
        <f t="shared" si="22"/>
        <v>674.3900000000001</v>
      </c>
      <c r="J109" s="22">
        <f t="shared" si="20"/>
        <v>1.4004277763933883</v>
      </c>
      <c r="K109" s="82">
        <f t="shared" si="13"/>
        <v>1.4004277763933883</v>
      </c>
      <c r="L109" s="22"/>
      <c r="M109" s="89">
        <f t="shared" si="21"/>
        <v>16.80513331672066</v>
      </c>
    </row>
    <row r="110" spans="1:13" s="4" customFormat="1" ht="12" customHeight="1">
      <c r="A110" s="5" t="s">
        <v>127</v>
      </c>
      <c r="B110" s="5" t="s">
        <v>128</v>
      </c>
      <c r="C110" s="20">
        <v>23.32</v>
      </c>
      <c r="D110" s="20"/>
      <c r="E110" s="21">
        <v>3218.1600000000003</v>
      </c>
      <c r="F110" s="21">
        <v>2751.76</v>
      </c>
      <c r="G110" s="21"/>
      <c r="H110" s="23">
        <f t="shared" si="22"/>
        <v>5969.92</v>
      </c>
      <c r="J110" s="22">
        <f t="shared" si="20"/>
        <v>21.333333333333332</v>
      </c>
      <c r="K110" s="82">
        <f t="shared" si="13"/>
        <v>21.333333333333332</v>
      </c>
      <c r="L110" s="22"/>
      <c r="M110" s="89">
        <f t="shared" si="21"/>
        <v>256</v>
      </c>
    </row>
    <row r="111" spans="1:13" s="4" customFormat="1" ht="12" customHeight="1">
      <c r="A111" s="5" t="s">
        <v>129</v>
      </c>
      <c r="B111" s="5" t="s">
        <v>130</v>
      </c>
      <c r="C111" s="20">
        <v>44.59</v>
      </c>
      <c r="D111" s="20"/>
      <c r="E111" s="21">
        <v>896.28</v>
      </c>
      <c r="F111" s="21">
        <v>626.49</v>
      </c>
      <c r="G111" s="21"/>
      <c r="H111" s="23">
        <f t="shared" si="22"/>
        <v>1522.77</v>
      </c>
      <c r="J111" s="22">
        <f t="shared" si="20"/>
        <v>2.8458735142408607</v>
      </c>
      <c r="K111" s="82">
        <f t="shared" si="13"/>
        <v>2.8458735142408607</v>
      </c>
      <c r="L111" s="22"/>
      <c r="M111" s="89">
        <f t="shared" si="21"/>
        <v>34.150482170890328</v>
      </c>
    </row>
    <row r="112" spans="1:13" s="4" customFormat="1" ht="12" customHeight="1">
      <c r="A112" s="5" t="s">
        <v>131</v>
      </c>
      <c r="B112" s="5" t="s">
        <v>132</v>
      </c>
      <c r="C112" s="20">
        <v>30.89</v>
      </c>
      <c r="D112" s="20"/>
      <c r="E112" s="21">
        <v>2115.9699999999998</v>
      </c>
      <c r="F112" s="21">
        <v>2409.42</v>
      </c>
      <c r="G112" s="21"/>
      <c r="H112" s="23">
        <f t="shared" si="22"/>
        <v>4525.3899999999994</v>
      </c>
      <c r="J112" s="22">
        <f t="shared" si="20"/>
        <v>12.208346822056759</v>
      </c>
      <c r="K112" s="82">
        <f t="shared" si="13"/>
        <v>12.208346822056759</v>
      </c>
      <c r="L112" s="22"/>
      <c r="M112" s="89">
        <f t="shared" si="21"/>
        <v>146.5001618646811</v>
      </c>
    </row>
    <row r="113" spans="1:15" s="4" customFormat="1" ht="12" customHeight="1">
      <c r="A113" s="5" t="s">
        <v>219</v>
      </c>
      <c r="B113" s="5" t="s">
        <v>220</v>
      </c>
      <c r="C113" s="20">
        <v>37.340000000000003</v>
      </c>
      <c r="D113" s="20"/>
      <c r="E113" s="21">
        <v>448.08000000000004</v>
      </c>
      <c r="F113" s="21">
        <v>448.08000000000004</v>
      </c>
      <c r="G113" s="21"/>
      <c r="H113" s="23">
        <f t="shared" si="22"/>
        <v>896.16000000000008</v>
      </c>
      <c r="J113" s="22">
        <f t="shared" si="20"/>
        <v>2</v>
      </c>
      <c r="K113" s="82">
        <f t="shared" ref="K113:K121" si="23">J113</f>
        <v>2</v>
      </c>
      <c r="L113" s="22"/>
      <c r="M113" s="89">
        <f t="shared" si="21"/>
        <v>24</v>
      </c>
    </row>
    <row r="114" spans="1:15" s="4" customFormat="1" ht="12" customHeight="1">
      <c r="A114" s="5" t="s">
        <v>227</v>
      </c>
      <c r="B114" s="5" t="s">
        <v>228</v>
      </c>
      <c r="C114" s="20"/>
      <c r="D114" s="20"/>
      <c r="E114" s="21">
        <v>0</v>
      </c>
      <c r="F114" s="21">
        <v>-165.26</v>
      </c>
      <c r="G114" s="21"/>
      <c r="H114" s="23">
        <f t="shared" si="22"/>
        <v>-165.26</v>
      </c>
      <c r="J114" s="22">
        <f t="shared" si="20"/>
        <v>0</v>
      </c>
      <c r="K114" s="82">
        <f t="shared" si="23"/>
        <v>0</v>
      </c>
      <c r="L114" s="22"/>
      <c r="M114" s="89"/>
    </row>
    <row r="115" spans="1:15" s="4" customFormat="1" ht="12" customHeight="1">
      <c r="A115" s="5" t="s">
        <v>133</v>
      </c>
      <c r="B115" s="5" t="s">
        <v>134</v>
      </c>
      <c r="C115" s="20">
        <v>51.84</v>
      </c>
      <c r="D115" s="20"/>
      <c r="E115" s="21">
        <v>1192.32</v>
      </c>
      <c r="F115" s="21">
        <v>1399.68</v>
      </c>
      <c r="G115" s="21"/>
      <c r="H115" s="23">
        <f t="shared" si="22"/>
        <v>2592</v>
      </c>
      <c r="J115" s="22">
        <f t="shared" si="20"/>
        <v>4.166666666666667</v>
      </c>
      <c r="K115" s="82">
        <f t="shared" si="23"/>
        <v>4.166666666666667</v>
      </c>
      <c r="L115" s="22"/>
      <c r="M115" s="89">
        <f t="shared" si="21"/>
        <v>50</v>
      </c>
    </row>
    <row r="116" spans="1:15" s="4" customFormat="1" ht="12" customHeight="1">
      <c r="A116" s="5" t="s">
        <v>287</v>
      </c>
      <c r="B116" s="5" t="s">
        <v>289</v>
      </c>
      <c r="C116" s="20">
        <v>53.56</v>
      </c>
      <c r="D116" s="20"/>
      <c r="E116" s="21">
        <v>0</v>
      </c>
      <c r="F116" s="21">
        <v>53.56</v>
      </c>
      <c r="G116" s="21"/>
      <c r="H116" s="23">
        <f t="shared" si="22"/>
        <v>53.56</v>
      </c>
      <c r="J116" s="22">
        <f t="shared" si="20"/>
        <v>8.3333333333333329E-2</v>
      </c>
      <c r="K116" s="82">
        <f t="shared" si="23"/>
        <v>8.3333333333333329E-2</v>
      </c>
      <c r="L116" s="22"/>
      <c r="M116" s="89">
        <f t="shared" si="21"/>
        <v>1</v>
      </c>
    </row>
    <row r="117" spans="1:15" s="4" customFormat="1" ht="12" customHeight="1">
      <c r="A117" s="5" t="s">
        <v>503</v>
      </c>
      <c r="B117" s="5" t="s">
        <v>504</v>
      </c>
      <c r="C117" s="20">
        <v>6.62</v>
      </c>
      <c r="D117" s="20"/>
      <c r="E117" s="21">
        <v>291.27999999999997</v>
      </c>
      <c r="F117" s="21">
        <v>263.14999999999998</v>
      </c>
      <c r="G117" s="21"/>
      <c r="H117" s="23">
        <f t="shared" si="22"/>
        <v>554.42999999999995</v>
      </c>
      <c r="J117" s="22">
        <f t="shared" si="20"/>
        <v>6.9792296072507547</v>
      </c>
      <c r="K117" s="82">
        <f t="shared" si="23"/>
        <v>6.9792296072507547</v>
      </c>
      <c r="L117" s="22"/>
      <c r="M117" s="89">
        <f t="shared" si="21"/>
        <v>83.750755287009056</v>
      </c>
    </row>
    <row r="118" spans="1:15" s="4" customFormat="1" ht="12" customHeight="1">
      <c r="A118" s="5" t="s">
        <v>137</v>
      </c>
      <c r="B118" s="5" t="s">
        <v>138</v>
      </c>
      <c r="C118" s="20">
        <v>13.12</v>
      </c>
      <c r="D118" s="20"/>
      <c r="E118" s="21">
        <v>0</v>
      </c>
      <c r="F118" s="21">
        <v>65.599999999999994</v>
      </c>
      <c r="G118" s="21"/>
      <c r="H118" s="23">
        <f t="shared" si="22"/>
        <v>65.599999999999994</v>
      </c>
      <c r="J118" s="22">
        <f t="shared" si="20"/>
        <v>0.41666666666666669</v>
      </c>
      <c r="K118" s="82">
        <f t="shared" si="23"/>
        <v>0.41666666666666669</v>
      </c>
      <c r="L118" s="22"/>
      <c r="M118" s="89">
        <f t="shared" si="21"/>
        <v>5</v>
      </c>
    </row>
    <row r="119" spans="1:15" s="4" customFormat="1" ht="12" customHeight="1">
      <c r="A119" s="5" t="s">
        <v>229</v>
      </c>
      <c r="B119" s="5" t="s">
        <v>230</v>
      </c>
      <c r="C119" s="20">
        <v>5.59</v>
      </c>
      <c r="D119" s="20"/>
      <c r="E119" s="21">
        <v>100.61999999999999</v>
      </c>
      <c r="F119" s="21">
        <v>100.61999999999999</v>
      </c>
      <c r="G119" s="21"/>
      <c r="H119" s="23">
        <f t="shared" si="22"/>
        <v>201.23999999999998</v>
      </c>
      <c r="J119" s="22">
        <f t="shared" si="20"/>
        <v>3</v>
      </c>
      <c r="K119" s="82">
        <f t="shared" si="23"/>
        <v>3</v>
      </c>
      <c r="L119" s="22"/>
      <c r="M119" s="89">
        <f t="shared" si="21"/>
        <v>36</v>
      </c>
    </row>
    <row r="120" spans="1:15" s="4" customFormat="1" ht="12" customHeight="1">
      <c r="A120" s="5" t="s">
        <v>281</v>
      </c>
      <c r="B120" s="5" t="s">
        <v>282</v>
      </c>
      <c r="C120" s="20">
        <v>38.26</v>
      </c>
      <c r="D120" s="20"/>
      <c r="E120" s="21">
        <v>38.26</v>
      </c>
      <c r="F120" s="21">
        <v>0</v>
      </c>
      <c r="G120" s="21"/>
      <c r="H120" s="23">
        <f t="shared" si="22"/>
        <v>38.26</v>
      </c>
      <c r="J120" s="22">
        <f t="shared" si="20"/>
        <v>8.3333333333333329E-2</v>
      </c>
      <c r="K120" s="82">
        <f t="shared" si="23"/>
        <v>8.3333333333333329E-2</v>
      </c>
      <c r="L120" s="22"/>
      <c r="M120" s="89">
        <f t="shared" si="21"/>
        <v>1</v>
      </c>
    </row>
    <row r="121" spans="1:15" s="4" customFormat="1" ht="12" customHeight="1">
      <c r="A121" s="5" t="s">
        <v>231</v>
      </c>
      <c r="B121" s="5" t="s">
        <v>232</v>
      </c>
      <c r="C121" s="20">
        <v>10.220000000000001</v>
      </c>
      <c r="D121" s="20"/>
      <c r="E121" s="21">
        <v>183.96</v>
      </c>
      <c r="F121" s="21">
        <v>183.96</v>
      </c>
      <c r="G121" s="21"/>
      <c r="H121" s="23">
        <f t="shared" si="22"/>
        <v>367.92</v>
      </c>
      <c r="J121" s="22">
        <f t="shared" si="20"/>
        <v>3</v>
      </c>
      <c r="K121" s="82">
        <f t="shared" si="23"/>
        <v>3</v>
      </c>
      <c r="L121" s="22"/>
      <c r="M121" s="89">
        <f t="shared" si="21"/>
        <v>36</v>
      </c>
    </row>
    <row r="122" spans="1:15" s="4" customFormat="1" ht="12" customHeight="1" thickBot="1">
      <c r="A122" s="36"/>
      <c r="B122" s="36"/>
      <c r="C122" s="20"/>
      <c r="D122" s="20"/>
      <c r="E122" s="22"/>
      <c r="F122" s="22"/>
      <c r="G122" s="22"/>
      <c r="H122" s="23"/>
      <c r="K122" s="5"/>
      <c r="L122" s="22"/>
    </row>
    <row r="123" spans="1:15" s="4" customFormat="1" ht="12" customHeight="1" thickBot="1">
      <c r="A123" s="36"/>
      <c r="B123" s="37" t="s">
        <v>13</v>
      </c>
      <c r="C123" s="20"/>
      <c r="D123" s="20"/>
      <c r="E123" s="27">
        <f>SUM(E48:E122)</f>
        <v>480047.66999999993</v>
      </c>
      <c r="F123" s="27">
        <f>SUM(F48:F122)</f>
        <v>468042.31499999983</v>
      </c>
      <c r="G123" s="27"/>
      <c r="H123" s="27">
        <f>SUM(H48:H122)</f>
        <v>948089.98500000034</v>
      </c>
      <c r="K123" s="84">
        <f>SUM(K48:K121)</f>
        <v>1535.6299110235191</v>
      </c>
      <c r="L123" s="22"/>
    </row>
    <row r="124" spans="1:15" s="4" customFormat="1" ht="12" customHeight="1">
      <c r="A124" s="36"/>
      <c r="B124" s="36"/>
      <c r="C124" s="20"/>
      <c r="D124" s="20"/>
      <c r="E124" s="22"/>
      <c r="F124" s="22"/>
      <c r="G124" s="22"/>
      <c r="H124" s="23"/>
      <c r="K124" s="5"/>
      <c r="L124" s="22"/>
    </row>
    <row r="125" spans="1:15" ht="12" customHeight="1">
      <c r="A125" s="38" t="s">
        <v>14</v>
      </c>
      <c r="B125" s="38" t="s">
        <v>14</v>
      </c>
    </row>
    <row r="126" spans="1:15" ht="12" customHeight="1">
      <c r="A126" s="16" t="s">
        <v>233</v>
      </c>
      <c r="B126" s="16" t="s">
        <v>234</v>
      </c>
      <c r="C126" s="20"/>
      <c r="E126" s="21">
        <v>100</v>
      </c>
      <c r="F126" s="21">
        <v>0</v>
      </c>
      <c r="G126" s="21"/>
      <c r="H126" s="23">
        <f>SUM(F126:G126)</f>
        <v>0</v>
      </c>
      <c r="J126" s="22">
        <f>IFERROR(F126/$C126,0)</f>
        <v>0</v>
      </c>
      <c r="K126" s="82">
        <f>SUM(J126:J126)/12</f>
        <v>0</v>
      </c>
      <c r="L126" s="91">
        <f>+K126</f>
        <v>0</v>
      </c>
    </row>
    <row r="127" spans="1:15" ht="12" customHeight="1" thickBot="1">
      <c r="A127" s="16" t="s">
        <v>235</v>
      </c>
      <c r="B127" s="16" t="s">
        <v>236</v>
      </c>
      <c r="C127" s="20">
        <v>20</v>
      </c>
      <c r="E127" s="21">
        <v>3415</v>
      </c>
      <c r="F127" s="21">
        <v>3720</v>
      </c>
      <c r="G127" s="21"/>
      <c r="H127" s="23">
        <f>SUM(E127:F127)</f>
        <v>7135</v>
      </c>
      <c r="J127" s="22">
        <f>IFERROR(H127/$C127/12,0)</f>
        <v>29.729166666666668</v>
      </c>
      <c r="K127" s="82">
        <f>J127</f>
        <v>29.729166666666668</v>
      </c>
      <c r="L127" s="91">
        <f>+K127</f>
        <v>29.729166666666668</v>
      </c>
      <c r="M127" s="91">
        <f>H127/C127</f>
        <v>356.75</v>
      </c>
      <c r="O127" s="101"/>
    </row>
    <row r="128" spans="1:15" ht="12" customHeight="1" thickBot="1">
      <c r="A128" s="25"/>
      <c r="B128" s="25"/>
      <c r="K128" s="84">
        <f>SUM(K126:K127)</f>
        <v>29.729166666666668</v>
      </c>
    </row>
    <row r="129" spans="1:13" ht="12" customHeight="1">
      <c r="A129" s="25"/>
      <c r="B129" s="40" t="s">
        <v>15</v>
      </c>
      <c r="E129" s="27">
        <f>SUM(E126:E128)</f>
        <v>3515</v>
      </c>
      <c r="F129" s="27">
        <f>SUM(F126:F128)</f>
        <v>3720</v>
      </c>
      <c r="G129" s="27"/>
      <c r="H129" s="27">
        <f t="shared" ref="H129" si="24">SUM(H126:H128)</f>
        <v>7135</v>
      </c>
    </row>
    <row r="130" spans="1:13" ht="12" customHeight="1">
      <c r="A130" s="25"/>
      <c r="B130" s="40"/>
      <c r="E130" s="43"/>
      <c r="F130" s="43"/>
      <c r="G130" s="43"/>
      <c r="H130" s="43"/>
    </row>
    <row r="131" spans="1:13" ht="12" customHeight="1">
      <c r="A131" s="38" t="s">
        <v>457</v>
      </c>
      <c r="B131" s="38" t="s">
        <v>457</v>
      </c>
      <c r="E131" s="43"/>
      <c r="F131" s="43"/>
      <c r="G131" s="43"/>
      <c r="H131" s="43"/>
    </row>
    <row r="132" spans="1:13" s="4" customFormat="1" ht="12" customHeight="1">
      <c r="A132" s="5" t="s">
        <v>221</v>
      </c>
      <c r="B132" s="5" t="s">
        <v>222</v>
      </c>
      <c r="C132" s="20"/>
      <c r="D132" s="20"/>
      <c r="E132" s="21">
        <v>13247.240000000002</v>
      </c>
      <c r="F132" s="21">
        <v>12198.43</v>
      </c>
      <c r="G132" s="21"/>
      <c r="H132" s="23">
        <f>SUM(E132:F132)</f>
        <v>25445.670000000002</v>
      </c>
      <c r="J132" s="22">
        <f>IFERROR(F134/$C132,0)</f>
        <v>0</v>
      </c>
      <c r="K132" s="82">
        <f>AVERAGE(J132:J132)</f>
        <v>0</v>
      </c>
      <c r="L132" s="22"/>
    </row>
    <row r="133" spans="1:13" ht="12" customHeight="1" thickBot="1">
      <c r="A133" s="25"/>
      <c r="B133" s="40"/>
    </row>
    <row r="134" spans="1:13" ht="12" customHeight="1" thickBot="1">
      <c r="A134" s="25"/>
      <c r="B134" s="40" t="s">
        <v>458</v>
      </c>
      <c r="E134" s="27">
        <f>SUM(E131:E133)</f>
        <v>13247.240000000002</v>
      </c>
      <c r="F134" s="27">
        <f>SUM(F131:F133)</f>
        <v>12198.43</v>
      </c>
      <c r="G134" s="27"/>
      <c r="H134" s="27">
        <f t="shared" ref="H134" si="25">SUM(H131:H133)</f>
        <v>25445.670000000002</v>
      </c>
      <c r="K134" s="84">
        <f>SUM(K132:K133)</f>
        <v>0</v>
      </c>
    </row>
    <row r="135" spans="1:13" ht="12" customHeight="1">
      <c r="A135" s="2"/>
      <c r="B135" s="2"/>
    </row>
    <row r="136" spans="1:13" ht="12" customHeight="1">
      <c r="A136" s="33" t="s">
        <v>16</v>
      </c>
      <c r="B136" s="33" t="s">
        <v>16</v>
      </c>
    </row>
    <row r="137" spans="1:13" ht="12" customHeight="1">
      <c r="A137" s="41"/>
      <c r="B137" s="41"/>
    </row>
    <row r="138" spans="1:13" ht="12" customHeight="1">
      <c r="A138" s="42" t="s">
        <v>17</v>
      </c>
      <c r="B138" s="42" t="s">
        <v>17</v>
      </c>
    </row>
    <row r="139" spans="1:13" ht="12" customHeight="1">
      <c r="A139" s="5" t="s">
        <v>139</v>
      </c>
      <c r="B139" s="5" t="s">
        <v>140</v>
      </c>
      <c r="C139" s="20">
        <v>229.5</v>
      </c>
      <c r="E139" s="21">
        <v>1377</v>
      </c>
      <c r="F139" s="21">
        <v>2088.1999999999998</v>
      </c>
      <c r="G139" s="21"/>
      <c r="H139" s="23">
        <f>SUM(E139:F139)</f>
        <v>3465.2</v>
      </c>
      <c r="J139" s="22">
        <f t="shared" ref="J139:J148" si="26">IFERROR((H139/$C139)/12,0)</f>
        <v>1.2582425562817718</v>
      </c>
      <c r="K139" s="82">
        <f t="shared" ref="K139:K148" si="27">J139</f>
        <v>1.2582425562817718</v>
      </c>
      <c r="L139" s="22"/>
      <c r="M139" s="89">
        <f t="shared" ref="M139:M148" si="28">H139/C139</f>
        <v>15.098910675381262</v>
      </c>
    </row>
    <row r="140" spans="1:13" ht="12" customHeight="1">
      <c r="A140" s="5" t="s">
        <v>141</v>
      </c>
      <c r="B140" s="5" t="s">
        <v>142</v>
      </c>
      <c r="C140" s="20">
        <v>212</v>
      </c>
      <c r="E140" s="21">
        <v>5512</v>
      </c>
      <c r="F140" s="21">
        <v>6360</v>
      </c>
      <c r="G140" s="21"/>
      <c r="H140" s="23">
        <f t="shared" ref="H140:H148" si="29">SUM(E140:F140)</f>
        <v>11872</v>
      </c>
      <c r="J140" s="22">
        <f t="shared" si="26"/>
        <v>4.666666666666667</v>
      </c>
      <c r="K140" s="82">
        <f t="shared" si="27"/>
        <v>4.666666666666667</v>
      </c>
      <c r="L140" s="22"/>
      <c r="M140" s="89">
        <f t="shared" si="28"/>
        <v>56</v>
      </c>
    </row>
    <row r="141" spans="1:13" ht="12" customHeight="1">
      <c r="A141" s="5" t="s">
        <v>237</v>
      </c>
      <c r="B141" s="5" t="s">
        <v>238</v>
      </c>
      <c r="C141" s="20">
        <v>328.75</v>
      </c>
      <c r="E141" s="21">
        <v>3193.55</v>
      </c>
      <c r="F141" s="21">
        <v>0</v>
      </c>
      <c r="G141" s="21"/>
      <c r="H141" s="23">
        <f t="shared" si="29"/>
        <v>3193.55</v>
      </c>
      <c r="J141" s="22">
        <f t="shared" si="26"/>
        <v>0.80951837769328261</v>
      </c>
      <c r="K141" s="82">
        <f t="shared" si="27"/>
        <v>0.80951837769328261</v>
      </c>
      <c r="L141" s="22"/>
      <c r="M141" s="89">
        <f t="shared" si="28"/>
        <v>9.7142205323193913</v>
      </c>
    </row>
    <row r="142" spans="1:13" ht="12" customHeight="1">
      <c r="A142" s="5" t="s">
        <v>143</v>
      </c>
      <c r="B142" s="5" t="s">
        <v>144</v>
      </c>
      <c r="C142" s="20">
        <v>313.7</v>
      </c>
      <c r="E142" s="21">
        <v>7215.1</v>
      </c>
      <c r="F142" s="21">
        <v>2195.8999999999996</v>
      </c>
      <c r="G142" s="21"/>
      <c r="H142" s="23">
        <f t="shared" si="29"/>
        <v>9411</v>
      </c>
      <c r="J142" s="22">
        <f t="shared" si="26"/>
        <v>2.5</v>
      </c>
      <c r="K142" s="82">
        <f t="shared" si="27"/>
        <v>2.5</v>
      </c>
      <c r="L142" s="22"/>
      <c r="M142" s="89">
        <f t="shared" si="28"/>
        <v>30</v>
      </c>
    </row>
    <row r="143" spans="1:13" ht="12" customHeight="1">
      <c r="A143" s="5" t="s">
        <v>145</v>
      </c>
      <c r="B143" s="5" t="s">
        <v>146</v>
      </c>
      <c r="C143" s="20">
        <v>212.02</v>
      </c>
      <c r="E143" s="21">
        <v>0</v>
      </c>
      <c r="F143" s="21">
        <v>313.7</v>
      </c>
      <c r="G143" s="21"/>
      <c r="H143" s="23">
        <f t="shared" ref="H143" si="30">SUM(E143:F143)</f>
        <v>313.7</v>
      </c>
      <c r="J143" s="22">
        <f t="shared" si="26"/>
        <v>0.12329811652988711</v>
      </c>
      <c r="K143" s="82">
        <f t="shared" si="27"/>
        <v>0.12329811652988711</v>
      </c>
      <c r="L143" s="22"/>
      <c r="M143" s="89">
        <f t="shared" si="28"/>
        <v>1.4795773983586453</v>
      </c>
    </row>
    <row r="144" spans="1:13" ht="12" customHeight="1">
      <c r="A144" s="5" t="s">
        <v>147</v>
      </c>
      <c r="B144" s="5" t="s">
        <v>148</v>
      </c>
      <c r="C144" s="20">
        <v>96.3</v>
      </c>
      <c r="E144" s="21">
        <v>1367.46</v>
      </c>
      <c r="F144" s="21">
        <v>1775.1299999999999</v>
      </c>
      <c r="G144" s="21"/>
      <c r="H144" s="23">
        <f t="shared" si="29"/>
        <v>3142.59</v>
      </c>
      <c r="J144" s="22">
        <f t="shared" si="26"/>
        <v>2.7194444444444446</v>
      </c>
      <c r="K144" s="82">
        <f t="shared" si="27"/>
        <v>2.7194444444444446</v>
      </c>
      <c r="L144" s="22"/>
      <c r="M144" s="89">
        <f t="shared" si="28"/>
        <v>32.633333333333333</v>
      </c>
    </row>
    <row r="145" spans="1:13" ht="12" customHeight="1">
      <c r="A145" s="5" t="s">
        <v>149</v>
      </c>
      <c r="B145" s="5" t="s">
        <v>150</v>
      </c>
      <c r="C145" s="20">
        <v>120.3</v>
      </c>
      <c r="E145" s="21">
        <v>1263.1499999999999</v>
      </c>
      <c r="F145" s="21">
        <v>441.1</v>
      </c>
      <c r="G145" s="21"/>
      <c r="H145" s="23">
        <f t="shared" si="29"/>
        <v>1704.25</v>
      </c>
      <c r="J145" s="22">
        <f t="shared" si="26"/>
        <v>1.1805555555555556</v>
      </c>
      <c r="K145" s="82">
        <f t="shared" si="27"/>
        <v>1.1805555555555556</v>
      </c>
      <c r="L145" s="22"/>
      <c r="M145" s="89">
        <f t="shared" si="28"/>
        <v>14.166666666666668</v>
      </c>
    </row>
    <row r="146" spans="1:13" ht="12" customHeight="1">
      <c r="A146" s="5" t="s">
        <v>239</v>
      </c>
      <c r="B146" s="5" t="s">
        <v>240</v>
      </c>
      <c r="C146" s="20">
        <v>212.02</v>
      </c>
      <c r="E146" s="21">
        <v>1272.1200000000001</v>
      </c>
      <c r="F146" s="21">
        <v>1272.1200000000001</v>
      </c>
      <c r="G146" s="21"/>
      <c r="H146" s="23">
        <f t="shared" si="29"/>
        <v>2544.2400000000002</v>
      </c>
      <c r="J146" s="22">
        <f t="shared" si="26"/>
        <v>1</v>
      </c>
      <c r="K146" s="82">
        <f t="shared" si="27"/>
        <v>1</v>
      </c>
      <c r="L146" s="22"/>
      <c r="M146" s="89">
        <f t="shared" si="28"/>
        <v>12</v>
      </c>
    </row>
    <row r="147" spans="1:13" ht="12" customHeight="1">
      <c r="A147" s="5" t="s">
        <v>151</v>
      </c>
      <c r="B147" s="5" t="s">
        <v>152</v>
      </c>
      <c r="C147" s="20">
        <v>70.55</v>
      </c>
      <c r="E147" s="21">
        <v>1622.6499999999999</v>
      </c>
      <c r="F147" s="21">
        <v>1904.85</v>
      </c>
      <c r="G147" s="21"/>
      <c r="H147" s="23">
        <f t="shared" si="29"/>
        <v>3527.5</v>
      </c>
      <c r="J147" s="22">
        <f t="shared" si="26"/>
        <v>4.166666666666667</v>
      </c>
      <c r="K147" s="82">
        <f t="shared" si="27"/>
        <v>4.166666666666667</v>
      </c>
      <c r="L147" s="22"/>
      <c r="M147" s="89">
        <f t="shared" si="28"/>
        <v>50</v>
      </c>
    </row>
    <row r="148" spans="1:13" ht="12" customHeight="1">
      <c r="A148" s="5" t="s">
        <v>153</v>
      </c>
      <c r="B148" s="5" t="s">
        <v>154</v>
      </c>
      <c r="C148" s="20">
        <v>5.26</v>
      </c>
      <c r="E148" s="21">
        <v>10940.8</v>
      </c>
      <c r="F148" s="21">
        <v>5523</v>
      </c>
      <c r="G148" s="21"/>
      <c r="H148" s="23">
        <f t="shared" si="29"/>
        <v>16463.8</v>
      </c>
      <c r="J148" s="22">
        <f t="shared" si="26"/>
        <v>260.83333333333331</v>
      </c>
      <c r="K148" s="82">
        <f t="shared" si="27"/>
        <v>260.83333333333331</v>
      </c>
      <c r="L148" s="22"/>
      <c r="M148" s="89">
        <f t="shared" si="28"/>
        <v>3130</v>
      </c>
    </row>
    <row r="149" spans="1:13" s="4" customFormat="1" ht="12" customHeight="1" thickBot="1">
      <c r="A149" s="5"/>
      <c r="B149" s="5"/>
      <c r="C149" s="20"/>
      <c r="D149" s="20"/>
      <c r="E149" s="21"/>
      <c r="F149" s="21"/>
      <c r="L149" s="22"/>
    </row>
    <row r="150" spans="1:13" s="4" customFormat="1" ht="12" customHeight="1" thickBot="1">
      <c r="A150" s="5"/>
      <c r="B150" s="26" t="s">
        <v>463</v>
      </c>
      <c r="C150" s="20"/>
      <c r="D150" s="20"/>
      <c r="E150" s="27">
        <f>SUM(E139:E149)</f>
        <v>33763.83</v>
      </c>
      <c r="F150" s="27">
        <f>SUM(F139:F149)</f>
        <v>21874</v>
      </c>
      <c r="G150" s="27"/>
      <c r="H150" s="27">
        <f>SUM(H139:H149)</f>
        <v>55637.83</v>
      </c>
      <c r="K150" s="83">
        <f>SUM(K139:K149)</f>
        <v>279.25772571717158</v>
      </c>
      <c r="L150" s="22"/>
    </row>
    <row r="151" spans="1:13" ht="12" customHeight="1">
      <c r="A151" s="25"/>
      <c r="B151" s="25"/>
    </row>
    <row r="152" spans="1:13" ht="12" customHeight="1">
      <c r="A152" s="42" t="s">
        <v>21</v>
      </c>
      <c r="B152" s="42" t="s">
        <v>21</v>
      </c>
    </row>
    <row r="153" spans="1:13" ht="12" customHeight="1">
      <c r="A153" s="16" t="s">
        <v>157</v>
      </c>
      <c r="B153" s="16" t="s">
        <v>158</v>
      </c>
      <c r="E153" s="21">
        <v>22892.880000000001</v>
      </c>
      <c r="F153" s="21">
        <v>18664.73</v>
      </c>
      <c r="G153" s="21"/>
      <c r="H153" s="23">
        <f>SUM(E153:F153)</f>
        <v>41557.61</v>
      </c>
    </row>
    <row r="154" spans="1:13" ht="12" customHeight="1">
      <c r="H154" s="39"/>
    </row>
    <row r="155" spans="1:13" ht="12" customHeight="1">
      <c r="A155" s="25"/>
      <c r="B155" s="40" t="s">
        <v>22</v>
      </c>
      <c r="E155" s="27">
        <f t="shared" ref="E155" si="31">SUM(E153:E154)</f>
        <v>22892.880000000001</v>
      </c>
      <c r="F155" s="27">
        <f t="shared" ref="F155:H155" si="32">SUM(F153:F154)</f>
        <v>18664.73</v>
      </c>
      <c r="G155" s="27"/>
      <c r="H155" s="27">
        <f t="shared" si="32"/>
        <v>41557.61</v>
      </c>
    </row>
    <row r="156" spans="1:13" ht="12" customHeight="1">
      <c r="A156" s="25"/>
      <c r="B156" s="40"/>
      <c r="E156" s="43"/>
      <c r="F156" s="43"/>
      <c r="G156" s="43"/>
      <c r="H156" s="43"/>
    </row>
    <row r="157" spans="1:13" s="4" customFormat="1" ht="12" customHeight="1">
      <c r="A157" s="28" t="s">
        <v>23</v>
      </c>
      <c r="B157" s="28" t="s">
        <v>23</v>
      </c>
      <c r="C157" s="20"/>
      <c r="D157" s="20"/>
      <c r="H157" s="23"/>
      <c r="J157" s="22"/>
      <c r="K157" s="5"/>
      <c r="L157" s="22"/>
    </row>
    <row r="158" spans="1:13" s="4" customFormat="1" ht="12" customHeight="1">
      <c r="A158" s="5" t="s">
        <v>24</v>
      </c>
      <c r="B158" s="5" t="s">
        <v>25</v>
      </c>
      <c r="C158" s="20"/>
      <c r="D158" s="20"/>
      <c r="E158" s="21">
        <v>1819.54</v>
      </c>
      <c r="F158" s="21">
        <v>1442.5100000000002</v>
      </c>
      <c r="G158" s="21"/>
      <c r="H158" s="23">
        <f>SUM(E158:F158)</f>
        <v>3262.05</v>
      </c>
      <c r="J158" s="22"/>
      <c r="K158" s="5"/>
      <c r="L158" s="22"/>
    </row>
    <row r="159" spans="1:13" s="4" customFormat="1" ht="12" customHeight="1">
      <c r="A159" s="5" t="s">
        <v>159</v>
      </c>
      <c r="B159" s="5" t="s">
        <v>160</v>
      </c>
      <c r="C159" s="20"/>
      <c r="D159" s="20"/>
      <c r="E159" s="21">
        <v>160.74</v>
      </c>
      <c r="F159" s="21">
        <v>18.03</v>
      </c>
      <c r="G159" s="21"/>
      <c r="H159" s="23">
        <f>SUM(E159:F159)</f>
        <v>178.77</v>
      </c>
      <c r="J159" s="22"/>
      <c r="K159" s="5"/>
      <c r="L159" s="22"/>
    </row>
    <row r="160" spans="1:13" s="4" customFormat="1" ht="12" customHeight="1">
      <c r="A160" s="5" t="s">
        <v>513</v>
      </c>
      <c r="B160" s="5" t="s">
        <v>514</v>
      </c>
      <c r="C160" s="20"/>
      <c r="D160" s="20"/>
      <c r="E160" s="21">
        <v>0</v>
      </c>
      <c r="F160" s="21">
        <v>-21.22</v>
      </c>
      <c r="G160" s="21"/>
      <c r="H160" s="23">
        <f>SUM(E160:F160)</f>
        <v>-21.22</v>
      </c>
      <c r="J160" s="22"/>
      <c r="K160" s="5"/>
      <c r="L160" s="22"/>
    </row>
    <row r="161" spans="1:12" s="4" customFormat="1" ht="12" customHeight="1">
      <c r="A161" s="24"/>
      <c r="B161" s="24"/>
      <c r="C161" s="20"/>
      <c r="D161" s="20"/>
      <c r="H161" s="23"/>
      <c r="J161" s="22"/>
      <c r="K161" s="5"/>
      <c r="L161" s="22"/>
    </row>
    <row r="162" spans="1:12" s="4" customFormat="1" ht="12" customHeight="1">
      <c r="A162" s="32"/>
      <c r="B162" s="26" t="s">
        <v>26</v>
      </c>
      <c r="C162" s="20"/>
      <c r="D162" s="20"/>
      <c r="E162" s="27">
        <f>SUM(E158:E160)</f>
        <v>1980.28</v>
      </c>
      <c r="F162" s="27">
        <f>SUM(F158:F160)</f>
        <v>1439.3200000000002</v>
      </c>
      <c r="G162" s="27"/>
      <c r="H162" s="27">
        <f>SUM(H158:H160)</f>
        <v>3419.6000000000004</v>
      </c>
      <c r="J162" s="22"/>
      <c r="K162" s="5"/>
      <c r="L162" s="22"/>
    </row>
    <row r="163" spans="1:12" ht="12" customHeight="1">
      <c r="A163" s="25"/>
      <c r="B163" s="40"/>
    </row>
    <row r="164" spans="1:12" ht="12" customHeight="1">
      <c r="A164" s="6"/>
      <c r="B164" s="37" t="s">
        <v>27</v>
      </c>
      <c r="E164" s="27">
        <f>SUM(E37,E42,E123,E129,E150,E155,E162,E134)</f>
        <v>1047599.1149999999</v>
      </c>
      <c r="F164" s="27">
        <f>SUM(F37,F42,F123,F129,F150,F155,F162,F134)</f>
        <v>1021476.9699999997</v>
      </c>
      <c r="G164" s="27"/>
      <c r="H164" s="27">
        <f>SUM(H37,H42,H123,H129,H134,H150,H155,H162)</f>
        <v>2068976.0850000004</v>
      </c>
    </row>
    <row r="165" spans="1:12">
      <c r="A165" s="6"/>
      <c r="B165" s="6"/>
    </row>
    <row r="166" spans="1:12">
      <c r="E166" s="39">
        <v>1047599.115</v>
      </c>
      <c r="F166" s="39">
        <v>1021484.4799999999</v>
      </c>
      <c r="H166" s="5" t="s">
        <v>519</v>
      </c>
    </row>
    <row r="167" spans="1:12">
      <c r="E167" s="80">
        <f>E166-E164</f>
        <v>0</v>
      </c>
      <c r="F167" s="80">
        <f>F166-F164</f>
        <v>7.5100000001257285</v>
      </c>
      <c r="H167" s="5" t="s">
        <v>517</v>
      </c>
    </row>
  </sheetData>
  <pageMargins left="0.7" right="0.7" top="0.75" bottom="0.75" header="0.3" footer="0.3"/>
  <pageSetup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AL46"/>
  <sheetViews>
    <sheetView workbookViewId="0">
      <pane xSplit="3" ySplit="6" topLeftCell="D7" activePane="bottomRight" state="frozen"/>
      <selection activeCell="AF25" sqref="AF24:AF25"/>
      <selection pane="topRight" activeCell="AF25" sqref="AF24:AF25"/>
      <selection pane="bottomLeft" activeCell="AF25" sqref="AF24:AF25"/>
      <selection pane="bottomRight" activeCell="AN28" sqref="AN28:AN29"/>
    </sheetView>
  </sheetViews>
  <sheetFormatPr defaultRowHeight="12.75" outlineLevelCol="1"/>
  <cols>
    <col min="1" max="1" width="34.42578125" style="5" bestFit="1" customWidth="1"/>
    <col min="2" max="2" width="22.7109375" style="16" customWidth="1"/>
    <col min="3" max="3" width="29.140625" style="16" bestFit="1" customWidth="1"/>
    <col min="4" max="4" width="8.7109375" style="5" customWidth="1"/>
    <col min="5" max="5" width="2.85546875" style="5" customWidth="1"/>
    <col min="6" max="6" width="10.5703125" style="5" hidden="1" customWidth="1" outlineLevel="1"/>
    <col min="7" max="11" width="10" style="5" hidden="1" customWidth="1" outlineLevel="1"/>
    <col min="12" max="12" width="11" style="5" bestFit="1" customWidth="1" collapsed="1"/>
    <col min="13" max="13" width="2" style="5" customWidth="1"/>
    <col min="14" max="14" width="10.5703125" style="5" hidden="1" customWidth="1" outlineLevel="1"/>
    <col min="15" max="19" width="10" style="5" hidden="1" customWidth="1" outlineLevel="1"/>
    <col min="20" max="20" width="11" style="5" bestFit="1" customWidth="1" collapsed="1"/>
    <col min="21" max="21" width="3.42578125" style="5" customWidth="1"/>
    <col min="22" max="22" width="11" style="5" customWidth="1"/>
    <col min="23" max="23" width="9.140625" style="5"/>
    <col min="24" max="24" width="7.7109375" style="5" hidden="1" customWidth="1" outlineLevel="1"/>
    <col min="25" max="32" width="8" style="5" hidden="1" customWidth="1" outlineLevel="1"/>
    <col min="33" max="35" width="9.42578125" style="5" hidden="1" customWidth="1" outlineLevel="1"/>
    <col min="36" max="36" width="5.5703125" style="5" bestFit="1" customWidth="1" collapsed="1"/>
    <col min="37" max="37" width="5.7109375" style="5" bestFit="1" customWidth="1"/>
    <col min="38" max="38" width="7.5703125" style="5" bestFit="1" customWidth="1"/>
    <col min="39" max="16384" width="9.140625" style="5"/>
  </cols>
  <sheetData>
    <row r="1" spans="1:38" ht="12" customHeight="1">
      <c r="B1" s="1" t="s">
        <v>28</v>
      </c>
      <c r="C1" s="2"/>
      <c r="D1" s="3"/>
      <c r="E1" s="3"/>
      <c r="F1" s="4"/>
      <c r="G1" s="4"/>
      <c r="H1" s="4"/>
      <c r="I1" s="4"/>
      <c r="J1" s="4"/>
      <c r="K1" s="4"/>
      <c r="L1" s="4"/>
      <c r="M1" s="2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8" ht="12" customHeight="1">
      <c r="B2" s="1" t="s">
        <v>247</v>
      </c>
      <c r="C2" s="2"/>
      <c r="D2" s="3"/>
      <c r="E2" s="3"/>
      <c r="G2" s="4"/>
      <c r="H2" s="4"/>
      <c r="I2" s="4"/>
      <c r="J2" s="4"/>
      <c r="K2" s="4"/>
      <c r="L2" s="4"/>
      <c r="M2" s="2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8" ht="12" customHeight="1">
      <c r="B3" s="6" t="str">
        <f>'Whitman Reg - Price Out'!A3</f>
        <v>July 1, 2015 - June 30, 2016</v>
      </c>
      <c r="C3" s="2"/>
      <c r="D3" s="3"/>
      <c r="E3" s="3"/>
      <c r="F3" s="57"/>
      <c r="G3" s="4"/>
      <c r="H3" s="4"/>
      <c r="I3" s="4"/>
      <c r="J3" s="4"/>
      <c r="K3" s="4"/>
      <c r="L3" s="4"/>
      <c r="M3" s="2"/>
      <c r="N3" s="57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8" ht="12" customHeight="1">
      <c r="B4" s="2"/>
      <c r="C4" s="8"/>
      <c r="D4" s="9" t="s">
        <v>558</v>
      </c>
      <c r="E4" s="13"/>
      <c r="F4" s="103">
        <v>42186</v>
      </c>
      <c r="G4" s="103">
        <v>42217</v>
      </c>
      <c r="H4" s="103">
        <v>42248</v>
      </c>
      <c r="I4" s="103">
        <v>42278</v>
      </c>
      <c r="J4" s="103">
        <v>42309</v>
      </c>
      <c r="K4" s="103">
        <v>42339</v>
      </c>
      <c r="L4" s="104">
        <v>2015</v>
      </c>
      <c r="M4" s="2"/>
      <c r="N4" s="10">
        <v>42370</v>
      </c>
      <c r="O4" s="10">
        <v>42401</v>
      </c>
      <c r="P4" s="10">
        <v>42430</v>
      </c>
      <c r="Q4" s="10">
        <v>42461</v>
      </c>
      <c r="R4" s="10">
        <v>42491</v>
      </c>
      <c r="S4" s="10">
        <v>42522</v>
      </c>
      <c r="T4" s="11">
        <v>2016</v>
      </c>
      <c r="U4" s="11"/>
      <c r="V4" s="11" t="s">
        <v>524</v>
      </c>
      <c r="W4" s="4"/>
      <c r="X4" s="12">
        <v>42186</v>
      </c>
      <c r="Y4" s="12">
        <v>42217</v>
      </c>
      <c r="Z4" s="12">
        <v>42248</v>
      </c>
      <c r="AA4" s="12">
        <v>42278</v>
      </c>
      <c r="AB4" s="12">
        <v>42309</v>
      </c>
      <c r="AC4" s="12">
        <v>42339</v>
      </c>
      <c r="AD4" s="12">
        <v>42370</v>
      </c>
      <c r="AE4" s="12">
        <v>42401</v>
      </c>
      <c r="AF4" s="12">
        <v>42430</v>
      </c>
      <c r="AG4" s="12">
        <v>42461</v>
      </c>
      <c r="AH4" s="12">
        <v>42491</v>
      </c>
      <c r="AI4" s="12">
        <v>42522</v>
      </c>
      <c r="AJ4" s="12" t="s">
        <v>496</v>
      </c>
      <c r="AK4" s="12" t="s">
        <v>490</v>
      </c>
      <c r="AL4" s="92" t="s">
        <v>492</v>
      </c>
    </row>
    <row r="5" spans="1:38" ht="12" customHeight="1">
      <c r="B5" s="13" t="s">
        <v>1</v>
      </c>
      <c r="C5" s="8" t="s">
        <v>2</v>
      </c>
      <c r="D5" s="14" t="s">
        <v>3</v>
      </c>
      <c r="E5" s="102"/>
      <c r="F5" s="104" t="s">
        <v>4</v>
      </c>
      <c r="G5" s="104" t="s">
        <v>4</v>
      </c>
      <c r="H5" s="104" t="s">
        <v>4</v>
      </c>
      <c r="I5" s="104" t="s">
        <v>4</v>
      </c>
      <c r="J5" s="104" t="s">
        <v>4</v>
      </c>
      <c r="K5" s="104" t="s">
        <v>4</v>
      </c>
      <c r="L5" s="104" t="s">
        <v>4</v>
      </c>
      <c r="M5" s="8"/>
      <c r="N5" s="11" t="s">
        <v>4</v>
      </c>
      <c r="O5" s="11" t="s">
        <v>4</v>
      </c>
      <c r="P5" s="11" t="s">
        <v>4</v>
      </c>
      <c r="Q5" s="11" t="s">
        <v>4</v>
      </c>
      <c r="R5" s="11" t="s">
        <v>4</v>
      </c>
      <c r="S5" s="11" t="s">
        <v>4</v>
      </c>
      <c r="T5" s="11" t="s">
        <v>4</v>
      </c>
      <c r="U5" s="11"/>
      <c r="V5" s="11" t="s">
        <v>4</v>
      </c>
      <c r="W5" s="4"/>
      <c r="X5" s="15" t="s">
        <v>5</v>
      </c>
      <c r="Y5" s="15" t="s">
        <v>5</v>
      </c>
      <c r="Z5" s="15" t="s">
        <v>5</v>
      </c>
      <c r="AA5" s="15" t="s">
        <v>5</v>
      </c>
      <c r="AB5" s="15" t="s">
        <v>5</v>
      </c>
      <c r="AC5" s="15" t="s">
        <v>5</v>
      </c>
      <c r="AD5" s="15" t="s">
        <v>5</v>
      </c>
      <c r="AE5" s="15" t="s">
        <v>5</v>
      </c>
      <c r="AF5" s="15" t="s">
        <v>5</v>
      </c>
      <c r="AG5" s="15" t="s">
        <v>5</v>
      </c>
      <c r="AH5" s="15" t="s">
        <v>5</v>
      </c>
      <c r="AI5" s="15" t="s">
        <v>5</v>
      </c>
      <c r="AJ5" s="15" t="s">
        <v>491</v>
      </c>
      <c r="AK5" s="15" t="s">
        <v>489</v>
      </c>
      <c r="AL5" s="93" t="s">
        <v>491</v>
      </c>
    </row>
    <row r="6" spans="1:38" ht="12" customHeight="1"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</row>
    <row r="7" spans="1:38" s="4" customFormat="1" ht="12" customHeight="1">
      <c r="C7" s="2"/>
      <c r="D7" s="3"/>
      <c r="E7" s="3"/>
      <c r="M7" s="2"/>
      <c r="AJ7" s="5"/>
    </row>
    <row r="8" spans="1:38" s="4" customFormat="1" ht="12" customHeight="1">
      <c r="D8" s="3"/>
      <c r="E8" s="3"/>
      <c r="M8" s="17"/>
      <c r="AJ8" s="5"/>
    </row>
    <row r="9" spans="1:38" s="4" customFormat="1" ht="12" customHeight="1">
      <c r="D9" s="20"/>
      <c r="E9" s="20"/>
      <c r="H9" s="2"/>
      <c r="L9" s="23"/>
      <c r="M9" s="20"/>
      <c r="P9" s="2"/>
      <c r="T9" s="23"/>
      <c r="U9" s="23"/>
      <c r="V9" s="23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5"/>
    </row>
    <row r="10" spans="1:38" ht="12" customHeight="1">
      <c r="B10" s="33" t="s">
        <v>11</v>
      </c>
      <c r="C10" s="33" t="s">
        <v>11</v>
      </c>
    </row>
    <row r="11" spans="1:38" ht="12" customHeight="1">
      <c r="B11" s="33"/>
      <c r="C11" s="33"/>
    </row>
    <row r="12" spans="1:38" s="4" customFormat="1">
      <c r="B12" s="19" t="s">
        <v>12</v>
      </c>
      <c r="C12" s="19" t="s">
        <v>12</v>
      </c>
      <c r="D12" s="20"/>
      <c r="E12" s="20"/>
      <c r="L12" s="23"/>
      <c r="M12" s="20"/>
      <c r="T12" s="23"/>
      <c r="U12" s="23"/>
      <c r="V12" s="23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5"/>
    </row>
    <row r="13" spans="1:38" s="4" customFormat="1" ht="12" customHeight="1">
      <c r="A13" s="4" t="str">
        <f t="shared" ref="A13:A17" si="0">"ARMY CORPS"&amp;"COMMERCIAL"&amp;B13</f>
        <v>ARMY CORPSCOMMERCIALRL003.0Y1W001</v>
      </c>
      <c r="B13" s="5" t="s">
        <v>75</v>
      </c>
      <c r="C13" s="5" t="s">
        <v>76</v>
      </c>
      <c r="D13" s="20">
        <v>235.05</v>
      </c>
      <c r="E13" s="20"/>
      <c r="F13" s="21">
        <v>687.96</v>
      </c>
      <c r="G13" s="21">
        <v>917.28</v>
      </c>
      <c r="H13" s="21">
        <v>687.96</v>
      </c>
      <c r="I13" s="21">
        <v>687.96</v>
      </c>
      <c r="J13" s="21">
        <v>458.64</v>
      </c>
      <c r="K13" s="21">
        <v>458.64</v>
      </c>
      <c r="L13" s="58">
        <f t="shared" ref="L13:L18" si="1">SUM(F13:K13)</f>
        <v>3898.4399999999996</v>
      </c>
      <c r="M13" s="20"/>
      <c r="N13" s="21">
        <v>458.64</v>
      </c>
      <c r="O13" s="21">
        <v>458.64</v>
      </c>
      <c r="P13" s="21">
        <v>0</v>
      </c>
      <c r="Q13" s="21">
        <v>235.07</v>
      </c>
      <c r="R13" s="21">
        <v>235.05</v>
      </c>
      <c r="S13" s="21">
        <v>235.05</v>
      </c>
      <c r="T13" s="58">
        <f t="shared" ref="T13:T17" si="2">SUM(N13:S13)</f>
        <v>1622.4499999999998</v>
      </c>
      <c r="U13" s="58"/>
      <c r="V13" s="58">
        <f t="shared" ref="V13:V18" si="3">L13+T13</f>
        <v>5520.8899999999994</v>
      </c>
      <c r="X13" s="22">
        <f>IFERROR(F13/$D13,0)</f>
        <v>2.926866624122527</v>
      </c>
      <c r="Y13" s="22">
        <f t="shared" ref="Y13:AC13" si="4">IFERROR(G13/$D13,0)</f>
        <v>3.9024888321633693</v>
      </c>
      <c r="Z13" s="22">
        <f t="shared" si="4"/>
        <v>2.926866624122527</v>
      </c>
      <c r="AA13" s="22">
        <f t="shared" si="4"/>
        <v>2.926866624122527</v>
      </c>
      <c r="AB13" s="22">
        <f t="shared" si="4"/>
        <v>1.9512444160816846</v>
      </c>
      <c r="AC13" s="22">
        <f t="shared" si="4"/>
        <v>1.9512444160816846</v>
      </c>
      <c r="AD13" s="22">
        <f>IFERROR(N13/$D13,0)</f>
        <v>1.9512444160816846</v>
      </c>
      <c r="AE13" s="22">
        <f t="shared" ref="AE13:AI15" si="5">IFERROR(O13/$D13,0)</f>
        <v>1.9512444160816846</v>
      </c>
      <c r="AF13" s="22">
        <f t="shared" si="5"/>
        <v>0</v>
      </c>
      <c r="AG13" s="22">
        <f t="shared" si="5"/>
        <v>1.0000850882790895</v>
      </c>
      <c r="AH13" s="22">
        <f t="shared" si="5"/>
        <v>1</v>
      </c>
      <c r="AI13" s="22">
        <f t="shared" si="5"/>
        <v>1</v>
      </c>
      <c r="AJ13" s="91">
        <f>SUM(X13:AI13)/12</f>
        <v>1.9573459547613983</v>
      </c>
      <c r="AK13" s="89">
        <f>AJ13</f>
        <v>1.9573459547613983</v>
      </c>
      <c r="AL13" s="89">
        <f>SUM(X13:AI13)</f>
        <v>23.48815145713678</v>
      </c>
    </row>
    <row r="14" spans="1:38" s="4" customFormat="1" ht="12" customHeight="1">
      <c r="A14" s="4" t="str">
        <f t="shared" si="0"/>
        <v>ARMY CORPSCOMMERCIALRL003.0Y1W002</v>
      </c>
      <c r="B14" s="5" t="s">
        <v>77</v>
      </c>
      <c r="C14" s="5" t="s">
        <v>78</v>
      </c>
      <c r="D14" s="20">
        <v>470.1</v>
      </c>
      <c r="E14" s="20"/>
      <c r="F14" s="21">
        <v>1375.92</v>
      </c>
      <c r="G14" s="21">
        <v>1834.56</v>
      </c>
      <c r="H14" s="21">
        <v>1375.92</v>
      </c>
      <c r="I14" s="21">
        <v>1375.92</v>
      </c>
      <c r="J14" s="21">
        <v>917.28</v>
      </c>
      <c r="K14" s="21">
        <v>917.28</v>
      </c>
      <c r="L14" s="58">
        <f t="shared" si="1"/>
        <v>7796.8799999999992</v>
      </c>
      <c r="M14" s="20"/>
      <c r="N14" s="21">
        <v>917.28</v>
      </c>
      <c r="O14" s="21">
        <v>1387.38</v>
      </c>
      <c r="P14" s="21">
        <v>940.41</v>
      </c>
      <c r="Q14" s="21">
        <v>1880.44</v>
      </c>
      <c r="R14" s="21">
        <v>1880.4</v>
      </c>
      <c r="S14" s="21">
        <v>1880.4</v>
      </c>
      <c r="T14" s="58">
        <f t="shared" si="2"/>
        <v>8886.31</v>
      </c>
      <c r="U14" s="58"/>
      <c r="V14" s="58">
        <f t="shared" si="3"/>
        <v>16683.189999999999</v>
      </c>
      <c r="X14" s="22">
        <f t="shared" ref="X14:X15" si="6">IFERROR(F14/$D14,0)</f>
        <v>2.926866624122527</v>
      </c>
      <c r="Y14" s="22">
        <f t="shared" ref="Y14:Y15" si="7">IFERROR(G14/$D14,0)</f>
        <v>3.9024888321633693</v>
      </c>
      <c r="Z14" s="22">
        <f t="shared" ref="Z14:Z15" si="8">IFERROR(H14/$D14,0)</f>
        <v>2.926866624122527</v>
      </c>
      <c r="AA14" s="22">
        <f t="shared" ref="AA14:AA15" si="9">IFERROR(I14/$D14,0)</f>
        <v>2.926866624122527</v>
      </c>
      <c r="AB14" s="22">
        <f t="shared" ref="AB14:AB15" si="10">IFERROR(J14/$D14,0)</f>
        <v>1.9512444160816846</v>
      </c>
      <c r="AC14" s="22">
        <f t="shared" ref="AC14:AC15" si="11">IFERROR(K14/$D14,0)</f>
        <v>1.9512444160816846</v>
      </c>
      <c r="AD14" s="22">
        <f t="shared" ref="AD14:AD15" si="12">IFERROR(N14/$D14,0)</f>
        <v>1.9512444160816846</v>
      </c>
      <c r="AE14" s="22">
        <f t="shared" si="5"/>
        <v>2.9512444160816846</v>
      </c>
      <c r="AF14" s="22">
        <f t="shared" si="5"/>
        <v>2.00044671346522</v>
      </c>
      <c r="AG14" s="22">
        <f t="shared" si="5"/>
        <v>4.0000850882790893</v>
      </c>
      <c r="AH14" s="22">
        <f t="shared" si="5"/>
        <v>4</v>
      </c>
      <c r="AI14" s="22">
        <f t="shared" si="5"/>
        <v>4</v>
      </c>
      <c r="AJ14" s="91">
        <f t="shared" ref="AJ14:AJ15" si="13">SUM(X14:AI14)/12</f>
        <v>2.9573831808835003</v>
      </c>
      <c r="AK14" s="89">
        <f>AJ14*2</f>
        <v>5.9147663617670005</v>
      </c>
      <c r="AL14" s="89">
        <f t="shared" ref="AL14:AL15" si="14">SUM(X14:AI14)</f>
        <v>35.488598170602003</v>
      </c>
    </row>
    <row r="15" spans="1:38" s="2" customFormat="1" ht="12" customHeight="1">
      <c r="A15" s="4" t="str">
        <f t="shared" si="0"/>
        <v>ARMY CORPSCOMMERCIALRL003.0Y1W004</v>
      </c>
      <c r="B15" s="5" t="s">
        <v>243</v>
      </c>
      <c r="C15" s="5" t="s">
        <v>244</v>
      </c>
      <c r="D15" s="20">
        <v>940.21</v>
      </c>
      <c r="E15" s="20"/>
      <c r="F15" s="21">
        <v>917.28</v>
      </c>
      <c r="G15" s="21">
        <v>917.28</v>
      </c>
      <c r="H15" s="21">
        <v>917.28</v>
      </c>
      <c r="I15" s="21">
        <v>917.28</v>
      </c>
      <c r="J15" s="21">
        <v>917.28</v>
      </c>
      <c r="K15" s="21">
        <v>917.28</v>
      </c>
      <c r="L15" s="58">
        <f t="shared" si="1"/>
        <v>5503.6799999999994</v>
      </c>
      <c r="M15" s="20"/>
      <c r="N15" s="21">
        <v>917.28</v>
      </c>
      <c r="O15" s="21">
        <v>917.28</v>
      </c>
      <c r="P15" s="21">
        <v>940.23</v>
      </c>
      <c r="Q15" s="21">
        <v>940.21</v>
      </c>
      <c r="R15" s="21">
        <v>940.21</v>
      </c>
      <c r="S15" s="21">
        <v>940.21</v>
      </c>
      <c r="T15" s="58">
        <f t="shared" si="2"/>
        <v>5595.42</v>
      </c>
      <c r="U15" s="58"/>
      <c r="V15" s="58">
        <f t="shared" si="3"/>
        <v>11099.099999999999</v>
      </c>
      <c r="X15" s="22">
        <f t="shared" si="6"/>
        <v>0.97561183139936813</v>
      </c>
      <c r="Y15" s="22">
        <f t="shared" si="7"/>
        <v>0.97561183139936813</v>
      </c>
      <c r="Z15" s="22">
        <f t="shared" si="8"/>
        <v>0.97561183139936813</v>
      </c>
      <c r="AA15" s="22">
        <f t="shared" si="9"/>
        <v>0.97561183139936813</v>
      </c>
      <c r="AB15" s="22">
        <f t="shared" si="10"/>
        <v>0.97561183139936813</v>
      </c>
      <c r="AC15" s="22">
        <f t="shared" si="11"/>
        <v>0.97561183139936813</v>
      </c>
      <c r="AD15" s="22">
        <f t="shared" si="12"/>
        <v>0.97561183139936813</v>
      </c>
      <c r="AE15" s="22">
        <f t="shared" si="5"/>
        <v>0.97561183139936813</v>
      </c>
      <c r="AF15" s="22">
        <f t="shared" si="5"/>
        <v>1.0000212718435244</v>
      </c>
      <c r="AG15" s="22">
        <f t="shared" si="5"/>
        <v>1</v>
      </c>
      <c r="AH15" s="22">
        <f t="shared" si="5"/>
        <v>1</v>
      </c>
      <c r="AI15" s="22">
        <f t="shared" si="5"/>
        <v>1</v>
      </c>
      <c r="AJ15" s="91">
        <f t="shared" si="13"/>
        <v>0.98374299358653905</v>
      </c>
      <c r="AK15" s="89">
        <f>+AJ15*4</f>
        <v>3.9349719743461562</v>
      </c>
      <c r="AL15" s="89">
        <f t="shared" si="14"/>
        <v>11.804915923038468</v>
      </c>
    </row>
    <row r="16" spans="1:38" s="4" customFormat="1" ht="12" customHeight="1">
      <c r="A16" s="4" t="str">
        <f t="shared" si="0"/>
        <v>ARMY CORPSCOMMERCIALEXTRAYDG-COMM</v>
      </c>
      <c r="B16" s="5" t="s">
        <v>113</v>
      </c>
      <c r="C16" s="5" t="s">
        <v>114</v>
      </c>
      <c r="D16" s="20">
        <v>19.559999999999999</v>
      </c>
      <c r="E16" s="20"/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58">
        <f t="shared" si="1"/>
        <v>0</v>
      </c>
      <c r="M16" s="20"/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39.119999999999997</v>
      </c>
      <c r="T16" s="58">
        <f t="shared" si="2"/>
        <v>39.119999999999997</v>
      </c>
      <c r="U16" s="58"/>
      <c r="V16" s="58">
        <f t="shared" si="3"/>
        <v>39.119999999999997</v>
      </c>
      <c r="X16" s="22">
        <f t="shared" ref="X16" si="15">IFERROR(F16/$D16,0)</f>
        <v>0</v>
      </c>
      <c r="Y16" s="22">
        <f t="shared" ref="Y16" si="16">IFERROR(G16/$D16,0)</f>
        <v>0</v>
      </c>
      <c r="Z16" s="22">
        <f t="shared" ref="Z16" si="17">IFERROR(H16/$D16,0)</f>
        <v>0</v>
      </c>
      <c r="AA16" s="22">
        <f t="shared" ref="AA16" si="18">IFERROR(I16/$D16,0)</f>
        <v>0</v>
      </c>
      <c r="AB16" s="22">
        <f t="shared" ref="AB16" si="19">IFERROR(J16/$D16,0)</f>
        <v>0</v>
      </c>
      <c r="AC16" s="22">
        <f t="shared" ref="AC16" si="20">IFERROR(K16/$D16,0)</f>
        <v>0</v>
      </c>
      <c r="AD16" s="22">
        <f t="shared" ref="AD16" si="21">IFERROR(N16/$D16,0)</f>
        <v>0</v>
      </c>
      <c r="AE16" s="22">
        <f t="shared" ref="AE16" si="22">IFERROR(O16/$D16,0)</f>
        <v>0</v>
      </c>
      <c r="AF16" s="22">
        <f t="shared" ref="AF16" si="23">IFERROR(P16/$D16,0)</f>
        <v>0</v>
      </c>
      <c r="AG16" s="22">
        <f t="shared" ref="AG16" si="24">IFERROR(Q16/$D16,0)</f>
        <v>0</v>
      </c>
      <c r="AH16" s="22">
        <f t="shared" ref="AH16" si="25">IFERROR(R16/$D16,0)</f>
        <v>0</v>
      </c>
      <c r="AI16" s="22">
        <f t="shared" ref="AI16" si="26">IFERROR(S16/$D16,0)</f>
        <v>2</v>
      </c>
      <c r="AJ16" s="91">
        <f t="shared" ref="AJ16" si="27">SUM(X16:AI16)/12</f>
        <v>0.16666666666666666</v>
      </c>
      <c r="AK16" s="89"/>
      <c r="AL16" s="89">
        <f t="shared" ref="AL16" si="28">SUM(X16:AI16)</f>
        <v>2</v>
      </c>
    </row>
    <row r="17" spans="1:36" s="4" customFormat="1" ht="12" customHeight="1">
      <c r="A17" s="4" t="str">
        <f t="shared" si="0"/>
        <v>ARMY CORPSCOMMERCIALDELTEMP-COMM</v>
      </c>
      <c r="B17" s="5" t="s">
        <v>133</v>
      </c>
      <c r="C17" s="5" t="s">
        <v>134</v>
      </c>
      <c r="D17" s="20">
        <v>225</v>
      </c>
      <c r="E17" s="20"/>
      <c r="F17" s="21">
        <v>0</v>
      </c>
      <c r="G17" s="21">
        <v>0</v>
      </c>
      <c r="H17" s="21">
        <v>0</v>
      </c>
      <c r="I17" s="21">
        <v>225</v>
      </c>
      <c r="J17" s="21">
        <v>0</v>
      </c>
      <c r="K17" s="21">
        <v>0</v>
      </c>
      <c r="L17" s="58">
        <f t="shared" si="1"/>
        <v>225</v>
      </c>
      <c r="M17" s="20"/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58">
        <f t="shared" si="2"/>
        <v>0</v>
      </c>
      <c r="U17" s="58"/>
      <c r="V17" s="58">
        <f t="shared" si="3"/>
        <v>225</v>
      </c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5"/>
    </row>
    <row r="18" spans="1:36" s="4" customFormat="1" ht="12" customHeight="1">
      <c r="A18" s="4" t="str">
        <f>"ARMY CORPS"&amp;"COMMERCIAL"&amp;B18</f>
        <v>ARMY CORPSCOMMERCIALDAMAGE-COMM</v>
      </c>
      <c r="B18" s="5" t="s">
        <v>522</v>
      </c>
      <c r="C18" s="5" t="s">
        <v>523</v>
      </c>
      <c r="D18" s="20">
        <v>530</v>
      </c>
      <c r="E18" s="20"/>
      <c r="F18" s="21">
        <v>0</v>
      </c>
      <c r="G18" s="21">
        <v>0</v>
      </c>
      <c r="H18" s="21">
        <v>530</v>
      </c>
      <c r="I18" s="21">
        <v>530</v>
      </c>
      <c r="J18" s="21">
        <v>0</v>
      </c>
      <c r="K18" s="21">
        <v>0</v>
      </c>
      <c r="L18" s="58">
        <f t="shared" si="1"/>
        <v>1060</v>
      </c>
      <c r="M18" s="20"/>
      <c r="N18" s="21"/>
      <c r="O18" s="21"/>
      <c r="P18" s="21"/>
      <c r="Q18" s="21"/>
      <c r="R18" s="21"/>
      <c r="S18" s="21"/>
      <c r="T18" s="58"/>
      <c r="U18" s="58"/>
      <c r="V18" s="58">
        <f t="shared" si="3"/>
        <v>1060</v>
      </c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5"/>
    </row>
    <row r="19" spans="1:36" s="4" customFormat="1" ht="12" customHeight="1" thickBot="1">
      <c r="B19" s="36"/>
      <c r="C19" s="36"/>
      <c r="D19" s="20"/>
      <c r="E19" s="20"/>
      <c r="F19" s="22"/>
      <c r="G19" s="22"/>
      <c r="H19" s="22"/>
      <c r="I19" s="22"/>
      <c r="J19" s="22"/>
      <c r="K19" s="22"/>
      <c r="L19" s="23"/>
      <c r="M19" s="20"/>
      <c r="N19" s="22"/>
      <c r="O19" s="22"/>
      <c r="P19" s="22"/>
      <c r="Q19" s="22"/>
      <c r="R19" s="22"/>
      <c r="S19" s="22"/>
      <c r="T19" s="23"/>
      <c r="U19" s="23"/>
      <c r="V19" s="23"/>
      <c r="AJ19" s="5"/>
    </row>
    <row r="20" spans="1:36" s="4" customFormat="1" ht="12" customHeight="1" thickBot="1">
      <c r="B20" s="36"/>
      <c r="C20" s="37" t="s">
        <v>13</v>
      </c>
      <c r="D20" s="20"/>
      <c r="E20" s="20"/>
      <c r="F20" s="27">
        <f t="shared" ref="F20:L20" si="29">SUM(F13:F19)</f>
        <v>2981.16</v>
      </c>
      <c r="G20" s="27">
        <f t="shared" si="29"/>
        <v>3669.12</v>
      </c>
      <c r="H20" s="27">
        <f t="shared" si="29"/>
        <v>3511.16</v>
      </c>
      <c r="I20" s="27">
        <f t="shared" si="29"/>
        <v>3736.16</v>
      </c>
      <c r="J20" s="27">
        <f t="shared" si="29"/>
        <v>2293.1999999999998</v>
      </c>
      <c r="K20" s="27">
        <f t="shared" si="29"/>
        <v>2293.1999999999998</v>
      </c>
      <c r="L20" s="27">
        <f t="shared" si="29"/>
        <v>18484</v>
      </c>
      <c r="M20" s="20"/>
      <c r="N20" s="27">
        <f t="shared" ref="N20:T20" si="30">SUM(N13:N19)</f>
        <v>2293.1999999999998</v>
      </c>
      <c r="O20" s="27">
        <f t="shared" si="30"/>
        <v>2763.3</v>
      </c>
      <c r="P20" s="27">
        <f t="shared" si="30"/>
        <v>1880.6399999999999</v>
      </c>
      <c r="Q20" s="27">
        <f t="shared" si="30"/>
        <v>3055.7200000000003</v>
      </c>
      <c r="R20" s="27">
        <f t="shared" si="30"/>
        <v>3055.6600000000003</v>
      </c>
      <c r="S20" s="27">
        <f t="shared" si="30"/>
        <v>3094.78</v>
      </c>
      <c r="T20" s="27">
        <f t="shared" si="30"/>
        <v>16143.3</v>
      </c>
      <c r="U20" s="43"/>
      <c r="V20" s="27">
        <f>SUM(V13:V19)</f>
        <v>34627.299999999996</v>
      </c>
      <c r="AJ20" s="84">
        <f>SUM(AJ13:AJ15)</f>
        <v>5.898472129231437</v>
      </c>
    </row>
    <row r="21" spans="1:36" ht="12" customHeight="1">
      <c r="B21" s="2"/>
      <c r="C21" s="2"/>
    </row>
    <row r="22" spans="1:36" ht="12" customHeight="1">
      <c r="B22" s="33" t="s">
        <v>16</v>
      </c>
      <c r="C22" s="33" t="s">
        <v>16</v>
      </c>
    </row>
    <row r="23" spans="1:36" ht="12" customHeight="1">
      <c r="B23" s="41"/>
      <c r="C23" s="41"/>
    </row>
    <row r="24" spans="1:36" ht="12" customHeight="1">
      <c r="B24" s="42" t="s">
        <v>17</v>
      </c>
      <c r="C24" s="42" t="s">
        <v>17</v>
      </c>
    </row>
    <row r="25" spans="1:36" ht="12" customHeight="1">
      <c r="A25" s="4" t="str">
        <f>"ARMY CORPS"&amp;"ROLL OFF"&amp;B25</f>
        <v>ARMY CORPSROLL OFFHAUL25-RO</v>
      </c>
      <c r="B25" s="5" t="s">
        <v>139</v>
      </c>
      <c r="C25" s="5" t="s">
        <v>140</v>
      </c>
      <c r="D25" s="20">
        <v>314</v>
      </c>
      <c r="E25" s="20"/>
      <c r="F25" s="21">
        <v>0</v>
      </c>
      <c r="G25" s="21">
        <v>1559.9</v>
      </c>
      <c r="H25" s="21">
        <v>1458.6</v>
      </c>
      <c r="I25" s="21">
        <v>314</v>
      </c>
      <c r="J25" s="21">
        <v>0</v>
      </c>
      <c r="K25" s="21">
        <v>628</v>
      </c>
      <c r="L25" s="58">
        <f t="shared" ref="L25:L29" si="31">SUM(F25:K25)</f>
        <v>3960.5</v>
      </c>
      <c r="N25" s="21">
        <v>0</v>
      </c>
      <c r="O25" s="21">
        <v>314</v>
      </c>
      <c r="P25" s="21">
        <v>1256</v>
      </c>
      <c r="Q25" s="21">
        <v>0</v>
      </c>
      <c r="R25" s="21">
        <v>628</v>
      </c>
      <c r="S25" s="21">
        <v>942</v>
      </c>
      <c r="T25" s="58">
        <f t="shared" ref="T25:T29" si="32">SUM(N25:S25)</f>
        <v>3140</v>
      </c>
      <c r="U25" s="58"/>
      <c r="V25" s="58">
        <f t="shared" ref="V25:V29" si="33">L25+T25</f>
        <v>7100.5</v>
      </c>
      <c r="X25" s="22">
        <f>IFERROR(N25/#REF!,0)</f>
        <v>0</v>
      </c>
      <c r="Y25" s="22">
        <f>IFERROR(O25/#REF!,0)</f>
        <v>0</v>
      </c>
      <c r="Z25" s="22">
        <f>IFERROR(P25/#REF!,0)</f>
        <v>0</v>
      </c>
      <c r="AA25" s="22">
        <f>IFERROR(Q25/#REF!,0)</f>
        <v>0</v>
      </c>
      <c r="AB25" s="22">
        <f>IFERROR(R25/#REF!,0)</f>
        <v>0</v>
      </c>
      <c r="AC25" s="22">
        <f>IFERROR(S25/#REF!,0)</f>
        <v>0</v>
      </c>
      <c r="AD25" s="22">
        <f>IFERROR(#REF!/#REF!,0)</f>
        <v>0</v>
      </c>
      <c r="AE25" s="22">
        <f>IFERROR(#REF!/#REF!,0)</f>
        <v>0</v>
      </c>
      <c r="AF25" s="22">
        <f>IFERROR(#REF!/#REF!,0)</f>
        <v>0</v>
      </c>
      <c r="AG25" s="22">
        <f>IFERROR(#REF!/#REF!,0)</f>
        <v>0</v>
      </c>
      <c r="AH25" s="22"/>
      <c r="AI25" s="22"/>
      <c r="AJ25" s="82">
        <f>AVERAGE(X25:AF25)</f>
        <v>0</v>
      </c>
    </row>
    <row r="26" spans="1:36" ht="12" customHeight="1">
      <c r="A26" s="4" t="str">
        <f t="shared" ref="A26:A29" si="34">"ARMY CORPS"&amp;"ROLL OFF"&amp;B26</f>
        <v>ARMY CORPSROLL OFFHAUL25TEMP-RO</v>
      </c>
      <c r="B26" s="5" t="s">
        <v>141</v>
      </c>
      <c r="C26" s="5" t="s">
        <v>142</v>
      </c>
      <c r="D26" s="20">
        <v>314</v>
      </c>
      <c r="E26" s="20"/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58">
        <f t="shared" si="31"/>
        <v>0</v>
      </c>
      <c r="N26" s="21">
        <v>415.3</v>
      </c>
      <c r="O26" s="21">
        <v>830.6</v>
      </c>
      <c r="P26" s="21">
        <v>0</v>
      </c>
      <c r="Q26" s="21">
        <v>1661.2</v>
      </c>
      <c r="R26" s="21">
        <v>0</v>
      </c>
      <c r="S26" s="21">
        <v>0</v>
      </c>
      <c r="T26" s="58">
        <f t="shared" si="32"/>
        <v>2907.1000000000004</v>
      </c>
      <c r="U26" s="58"/>
      <c r="V26" s="58">
        <f t="shared" si="33"/>
        <v>2907.1000000000004</v>
      </c>
      <c r="X26" s="22">
        <f>IFERROR(N26/#REF!,0)</f>
        <v>0</v>
      </c>
      <c r="Y26" s="22">
        <f>IFERROR(O26/#REF!,0)</f>
        <v>0</v>
      </c>
      <c r="Z26" s="22">
        <f>IFERROR(P26/#REF!,0)</f>
        <v>0</v>
      </c>
      <c r="AA26" s="22">
        <f>IFERROR(Q26/#REF!,0)</f>
        <v>0</v>
      </c>
      <c r="AB26" s="22">
        <f>IFERROR(R26/#REF!,0)</f>
        <v>0</v>
      </c>
      <c r="AC26" s="22">
        <f>IFERROR(S26/#REF!,0)</f>
        <v>0</v>
      </c>
      <c r="AD26" s="22">
        <f>IFERROR(#REF!/#REF!,0)</f>
        <v>0</v>
      </c>
      <c r="AE26" s="22">
        <f>IFERROR(#REF!/#REF!,0)</f>
        <v>0</v>
      </c>
      <c r="AF26" s="22">
        <f>IFERROR(#REF!/#REF!,0)</f>
        <v>0</v>
      </c>
      <c r="AG26" s="22">
        <f>IFERROR(#REF!/#REF!,0)</f>
        <v>0</v>
      </c>
      <c r="AH26" s="22"/>
      <c r="AI26" s="22"/>
      <c r="AJ26" s="82">
        <f>AVERAGE(X26:AF26)</f>
        <v>0</v>
      </c>
    </row>
    <row r="27" spans="1:36" ht="12" customHeight="1">
      <c r="A27" s="4" t="str">
        <f t="shared" si="34"/>
        <v>ARMY CORPSROLL OFFRENT25MO-RO</v>
      </c>
      <c r="B27" s="5" t="s">
        <v>147</v>
      </c>
      <c r="C27" s="5" t="s">
        <v>148</v>
      </c>
      <c r="D27" s="20">
        <v>95.5</v>
      </c>
      <c r="E27" s="20"/>
      <c r="F27" s="21">
        <v>191</v>
      </c>
      <c r="G27" s="21">
        <v>133.88</v>
      </c>
      <c r="H27" s="21">
        <v>101.9</v>
      </c>
      <c r="I27" s="21">
        <v>191</v>
      </c>
      <c r="J27" s="21">
        <v>191</v>
      </c>
      <c r="K27" s="21">
        <v>191</v>
      </c>
      <c r="L27" s="58">
        <f t="shared" si="31"/>
        <v>999.78</v>
      </c>
      <c r="N27" s="21">
        <v>238.75</v>
      </c>
      <c r="O27" s="21">
        <v>286.5</v>
      </c>
      <c r="P27" s="21">
        <v>286.5</v>
      </c>
      <c r="Q27" s="21">
        <v>356.86</v>
      </c>
      <c r="R27" s="21">
        <v>286.5</v>
      </c>
      <c r="S27" s="21">
        <v>286.5</v>
      </c>
      <c r="T27" s="58">
        <f t="shared" si="32"/>
        <v>1741.6100000000001</v>
      </c>
      <c r="U27" s="58"/>
      <c r="V27" s="58">
        <f t="shared" si="33"/>
        <v>2741.3900000000003</v>
      </c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</row>
    <row r="28" spans="1:36" ht="12" customHeight="1">
      <c r="A28" s="4" t="str">
        <f t="shared" si="34"/>
        <v>ARMY CORPSROLL OFFDEL-RO</v>
      </c>
      <c r="B28" s="5" t="s">
        <v>151</v>
      </c>
      <c r="C28" s="5" t="s">
        <v>152</v>
      </c>
      <c r="D28" s="20">
        <v>225</v>
      </c>
      <c r="E28" s="20"/>
      <c r="F28" s="21">
        <v>0</v>
      </c>
      <c r="G28" s="21">
        <v>450</v>
      </c>
      <c r="H28" s="21">
        <v>0</v>
      </c>
      <c r="I28" s="21">
        <v>0</v>
      </c>
      <c r="J28" s="21">
        <v>0</v>
      </c>
      <c r="K28" s="21">
        <v>0</v>
      </c>
      <c r="L28" s="58">
        <f t="shared" si="31"/>
        <v>450</v>
      </c>
      <c r="N28" s="21">
        <v>225</v>
      </c>
      <c r="O28" s="21">
        <v>0</v>
      </c>
      <c r="P28" s="21">
        <v>0</v>
      </c>
      <c r="Q28" s="21">
        <v>450</v>
      </c>
      <c r="R28" s="21">
        <v>0</v>
      </c>
      <c r="S28" s="21">
        <v>0</v>
      </c>
      <c r="T28" s="58">
        <f t="shared" si="32"/>
        <v>675</v>
      </c>
      <c r="U28" s="58"/>
      <c r="V28" s="58">
        <f t="shared" si="33"/>
        <v>1125</v>
      </c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</row>
    <row r="29" spans="1:36" ht="12" customHeight="1">
      <c r="A29" s="4" t="str">
        <f t="shared" si="34"/>
        <v>ARMY CORPSROLL OFFMILE-RO</v>
      </c>
      <c r="B29" s="5" t="s">
        <v>153</v>
      </c>
      <c r="C29" s="5" t="s">
        <v>154</v>
      </c>
      <c r="D29" s="20"/>
      <c r="E29" s="20"/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58">
        <f t="shared" si="31"/>
        <v>0</v>
      </c>
      <c r="N29" s="21">
        <v>0</v>
      </c>
      <c r="O29" s="21">
        <v>0</v>
      </c>
      <c r="P29" s="21">
        <v>140.76</v>
      </c>
      <c r="Q29" s="21">
        <v>0</v>
      </c>
      <c r="R29" s="21">
        <v>0</v>
      </c>
      <c r="S29" s="21">
        <v>0</v>
      </c>
      <c r="T29" s="58">
        <f t="shared" si="32"/>
        <v>140.76</v>
      </c>
      <c r="U29" s="58"/>
      <c r="V29" s="58">
        <f t="shared" si="33"/>
        <v>140.76</v>
      </c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</row>
    <row r="30" spans="1:36" ht="12" customHeight="1" thickBot="1">
      <c r="B30" s="25"/>
      <c r="C30" s="25"/>
      <c r="D30" s="20"/>
      <c r="E30" s="20"/>
    </row>
    <row r="31" spans="1:36" ht="12" customHeight="1" thickBot="1">
      <c r="B31" s="25"/>
      <c r="C31" s="40" t="s">
        <v>18</v>
      </c>
      <c r="F31" s="27">
        <f t="shared" ref="F31:L31" si="35">SUM(F25:F30)</f>
        <v>191</v>
      </c>
      <c r="G31" s="27">
        <f t="shared" si="35"/>
        <v>2143.7800000000002</v>
      </c>
      <c r="H31" s="27">
        <f t="shared" si="35"/>
        <v>1560.5</v>
      </c>
      <c r="I31" s="27">
        <f t="shared" si="35"/>
        <v>505</v>
      </c>
      <c r="J31" s="27">
        <f t="shared" si="35"/>
        <v>191</v>
      </c>
      <c r="K31" s="27">
        <f t="shared" si="35"/>
        <v>819</v>
      </c>
      <c r="L31" s="27">
        <f t="shared" si="35"/>
        <v>5410.28</v>
      </c>
      <c r="N31" s="27">
        <f t="shared" ref="N31:T31" si="36">SUM(N25:N30)</f>
        <v>879.05</v>
      </c>
      <c r="O31" s="27">
        <f t="shared" si="36"/>
        <v>1431.1</v>
      </c>
      <c r="P31" s="27">
        <f t="shared" si="36"/>
        <v>1683.26</v>
      </c>
      <c r="Q31" s="27">
        <f t="shared" si="36"/>
        <v>2468.06</v>
      </c>
      <c r="R31" s="27">
        <f t="shared" si="36"/>
        <v>914.5</v>
      </c>
      <c r="S31" s="27">
        <f t="shared" si="36"/>
        <v>1228.5</v>
      </c>
      <c r="T31" s="27">
        <f t="shared" si="36"/>
        <v>8604.4700000000012</v>
      </c>
      <c r="U31" s="43"/>
      <c r="V31" s="27">
        <f>SUM(V25:V30)</f>
        <v>14014.750000000002</v>
      </c>
      <c r="AJ31" s="84">
        <f>SUM(AJ25:AJ30)</f>
        <v>0</v>
      </c>
    </row>
    <row r="32" spans="1:36" ht="12" customHeight="1">
      <c r="B32" s="25"/>
      <c r="C32" s="25"/>
    </row>
    <row r="33" spans="1:36" ht="12" customHeight="1">
      <c r="B33" s="42" t="s">
        <v>21</v>
      </c>
      <c r="C33" s="42" t="s">
        <v>21</v>
      </c>
    </row>
    <row r="34" spans="1:36" ht="12" customHeight="1">
      <c r="A34" s="4" t="str">
        <f>"ARMY CORPS"&amp;"ROLL OFF"&amp;B34</f>
        <v>ARMY CORPSROLL OFFDISP-RO</v>
      </c>
      <c r="B34" s="16" t="s">
        <v>157</v>
      </c>
      <c r="C34" s="16" t="s">
        <v>158</v>
      </c>
      <c r="F34" s="21">
        <v>0</v>
      </c>
      <c r="G34" s="21">
        <v>331.24</v>
      </c>
      <c r="H34" s="21">
        <v>656.88</v>
      </c>
      <c r="I34" s="21">
        <v>184.62</v>
      </c>
      <c r="J34" s="21">
        <v>0</v>
      </c>
      <c r="K34" s="21">
        <v>351.9</v>
      </c>
      <c r="L34" s="58">
        <f>SUM(F34:K34)</f>
        <v>1524.6399999999999</v>
      </c>
      <c r="N34" s="21">
        <v>231.54</v>
      </c>
      <c r="O34" s="21">
        <v>1506.54</v>
      </c>
      <c r="P34" s="21">
        <v>420.24</v>
      </c>
      <c r="Q34" s="21">
        <v>2229.7199999999998</v>
      </c>
      <c r="R34" s="21">
        <v>497.76</v>
      </c>
      <c r="S34" s="21">
        <v>711.96</v>
      </c>
      <c r="T34" s="58">
        <f>SUM(N34:S34)</f>
        <v>5597.7599999999993</v>
      </c>
      <c r="U34" s="58"/>
      <c r="V34" s="58">
        <f t="shared" ref="V34" si="37">L34+T34</f>
        <v>7122.4</v>
      </c>
    </row>
    <row r="35" spans="1:36" ht="12" customHeight="1">
      <c r="L35" s="39"/>
      <c r="T35" s="39"/>
      <c r="U35" s="39"/>
      <c r="V35" s="39"/>
    </row>
    <row r="36" spans="1:36" ht="12" customHeight="1">
      <c r="B36" s="25"/>
      <c r="C36" s="40" t="s">
        <v>22</v>
      </c>
      <c r="F36" s="27">
        <f t="shared" ref="F36:L36" si="38">SUM(F34:F35)</f>
        <v>0</v>
      </c>
      <c r="G36" s="27">
        <f t="shared" si="38"/>
        <v>331.24</v>
      </c>
      <c r="H36" s="27">
        <f t="shared" si="38"/>
        <v>656.88</v>
      </c>
      <c r="I36" s="27">
        <f t="shared" si="38"/>
        <v>184.62</v>
      </c>
      <c r="J36" s="27">
        <f t="shared" si="38"/>
        <v>0</v>
      </c>
      <c r="K36" s="27">
        <f t="shared" si="38"/>
        <v>351.9</v>
      </c>
      <c r="L36" s="27">
        <f t="shared" si="38"/>
        <v>1524.6399999999999</v>
      </c>
      <c r="N36" s="27">
        <f t="shared" ref="N36:V36" si="39">SUM(N34:N35)</f>
        <v>231.54</v>
      </c>
      <c r="O36" s="27">
        <f t="shared" si="39"/>
        <v>1506.54</v>
      </c>
      <c r="P36" s="27">
        <f t="shared" si="39"/>
        <v>420.24</v>
      </c>
      <c r="Q36" s="27">
        <f t="shared" si="39"/>
        <v>2229.7199999999998</v>
      </c>
      <c r="R36" s="27">
        <f t="shared" si="39"/>
        <v>497.76</v>
      </c>
      <c r="S36" s="27">
        <f t="shared" si="39"/>
        <v>711.96</v>
      </c>
      <c r="T36" s="27">
        <f t="shared" si="39"/>
        <v>5597.7599999999993</v>
      </c>
      <c r="U36" s="43"/>
      <c r="V36" s="27">
        <f t="shared" si="39"/>
        <v>7122.4</v>
      </c>
    </row>
    <row r="37" spans="1:36" ht="12" customHeight="1">
      <c r="B37" s="25"/>
      <c r="C37" s="40"/>
      <c r="F37" s="43"/>
      <c r="G37" s="43"/>
      <c r="H37" s="43"/>
      <c r="I37" s="43"/>
      <c r="J37" s="43"/>
      <c r="K37" s="43"/>
      <c r="L37" s="43"/>
      <c r="N37" s="43"/>
      <c r="O37" s="43"/>
      <c r="P37" s="43"/>
      <c r="Q37" s="43"/>
      <c r="R37" s="43"/>
      <c r="S37" s="43"/>
      <c r="T37" s="43"/>
      <c r="U37" s="43"/>
      <c r="V37" s="43"/>
    </row>
    <row r="38" spans="1:36" s="4" customFormat="1" ht="12" customHeight="1">
      <c r="B38" s="28" t="s">
        <v>23</v>
      </c>
      <c r="C38" s="28" t="s">
        <v>23</v>
      </c>
      <c r="D38" s="20"/>
      <c r="E38" s="20"/>
      <c r="L38" s="23"/>
      <c r="M38" s="20"/>
      <c r="T38" s="23"/>
      <c r="U38" s="23"/>
      <c r="V38" s="23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5"/>
    </row>
    <row r="39" spans="1:36" s="4" customFormat="1" ht="12" customHeight="1">
      <c r="A39" s="4" t="str">
        <f>"ARMY CORPS"&amp;"ACCOUNTING"&amp;B39</f>
        <v>ARMY CORPSACCOUNTINGFINCHG</v>
      </c>
      <c r="B39" s="5" t="s">
        <v>24</v>
      </c>
      <c r="C39" s="5" t="s">
        <v>25</v>
      </c>
      <c r="D39" s="20"/>
      <c r="E39" s="20"/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58">
        <f>SUM(F39:K39)</f>
        <v>0</v>
      </c>
      <c r="M39" s="20"/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58">
        <f>SUM(N39:S39)</f>
        <v>0</v>
      </c>
      <c r="U39" s="58"/>
      <c r="V39" s="58">
        <f t="shared" ref="V39:V40" si="40">L39+T39</f>
        <v>0</v>
      </c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5"/>
    </row>
    <row r="40" spans="1:36" s="4" customFormat="1" ht="12" customHeight="1">
      <c r="A40" s="4" t="str">
        <f>"ARMY CORPS"&amp;"ACCOUNTING"&amp;B40</f>
        <v>ARMY CORPSACCOUNTINGRETCKC</v>
      </c>
      <c r="B40" s="5" t="s">
        <v>159</v>
      </c>
      <c r="C40" s="5" t="s">
        <v>160</v>
      </c>
      <c r="D40" s="20"/>
      <c r="E40" s="20"/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58">
        <f>SUM(F40:K40)</f>
        <v>0</v>
      </c>
      <c r="M40" s="20"/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58">
        <f>SUM(N40:S40)</f>
        <v>0</v>
      </c>
      <c r="U40" s="58"/>
      <c r="V40" s="58">
        <f t="shared" si="40"/>
        <v>0</v>
      </c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5"/>
    </row>
    <row r="41" spans="1:36" s="4" customFormat="1" ht="12" customHeight="1">
      <c r="B41" s="24"/>
      <c r="C41" s="24"/>
      <c r="D41" s="20"/>
      <c r="E41" s="20"/>
      <c r="L41" s="23"/>
      <c r="M41" s="20"/>
      <c r="T41" s="23"/>
      <c r="U41" s="23"/>
      <c r="V41" s="23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5"/>
    </row>
    <row r="42" spans="1:36" s="4" customFormat="1" ht="12" customHeight="1">
      <c r="B42" s="32"/>
      <c r="C42" s="26" t="s">
        <v>26</v>
      </c>
      <c r="D42" s="20"/>
      <c r="E42" s="20"/>
      <c r="F42" s="27">
        <f t="shared" ref="F42:K42" si="41">SUM(F39:F40)</f>
        <v>0</v>
      </c>
      <c r="G42" s="27">
        <f t="shared" si="41"/>
        <v>0</v>
      </c>
      <c r="H42" s="27">
        <f t="shared" si="41"/>
        <v>0</v>
      </c>
      <c r="I42" s="27">
        <f t="shared" si="41"/>
        <v>0</v>
      </c>
      <c r="J42" s="27">
        <f t="shared" si="41"/>
        <v>0</v>
      </c>
      <c r="K42" s="27">
        <f t="shared" si="41"/>
        <v>0</v>
      </c>
      <c r="L42" s="27">
        <f>SUM(L39:L40)</f>
        <v>0</v>
      </c>
      <c r="M42" s="20"/>
      <c r="N42" s="27">
        <f t="shared" ref="N42:S42" si="42">SUM(N39:N40)</f>
        <v>0</v>
      </c>
      <c r="O42" s="27">
        <f t="shared" si="42"/>
        <v>0</v>
      </c>
      <c r="P42" s="27">
        <f t="shared" si="42"/>
        <v>0</v>
      </c>
      <c r="Q42" s="27">
        <f t="shared" si="42"/>
        <v>0</v>
      </c>
      <c r="R42" s="27">
        <f t="shared" si="42"/>
        <v>0</v>
      </c>
      <c r="S42" s="27">
        <f t="shared" si="42"/>
        <v>0</v>
      </c>
      <c r="T42" s="27">
        <f>SUM(T39:T40)</f>
        <v>0</v>
      </c>
      <c r="U42" s="43"/>
      <c r="V42" s="27">
        <f t="shared" ref="V42" si="43">SUM(V40:V41)</f>
        <v>0</v>
      </c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5"/>
    </row>
    <row r="43" spans="1:36" ht="12" customHeight="1">
      <c r="B43" s="25"/>
      <c r="C43" s="40"/>
    </row>
    <row r="44" spans="1:36">
      <c r="B44" s="6"/>
      <c r="C44" s="37" t="s">
        <v>27</v>
      </c>
      <c r="F44" s="27">
        <f>SUM(F20,F31,F36,F42)</f>
        <v>3172.16</v>
      </c>
      <c r="G44" s="27">
        <f t="shared" ref="G44:K44" si="44">SUM(G20,G31,G36,G42)</f>
        <v>6144.1399999999994</v>
      </c>
      <c r="H44" s="27">
        <f t="shared" si="44"/>
        <v>5728.54</v>
      </c>
      <c r="I44" s="27">
        <f t="shared" si="44"/>
        <v>4425.78</v>
      </c>
      <c r="J44" s="27">
        <f t="shared" si="44"/>
        <v>2484.1999999999998</v>
      </c>
      <c r="K44" s="27">
        <f t="shared" si="44"/>
        <v>3464.1</v>
      </c>
      <c r="L44" s="27">
        <f>SUM(L20,L31,L36,L42)</f>
        <v>25418.92</v>
      </c>
      <c r="N44" s="27">
        <f t="shared" ref="N44:S44" si="45">SUM(N20,N31,N36,N42)</f>
        <v>3403.79</v>
      </c>
      <c r="O44" s="27">
        <f t="shared" si="45"/>
        <v>5700.94</v>
      </c>
      <c r="P44" s="27">
        <f t="shared" si="45"/>
        <v>3984.1399999999994</v>
      </c>
      <c r="Q44" s="27">
        <f t="shared" si="45"/>
        <v>7753.5</v>
      </c>
      <c r="R44" s="27">
        <f t="shared" si="45"/>
        <v>4467.92</v>
      </c>
      <c r="S44" s="27">
        <f t="shared" si="45"/>
        <v>5035.2400000000007</v>
      </c>
      <c r="T44" s="27">
        <f>SUM(T20,T31,T36,T42)</f>
        <v>30345.53</v>
      </c>
      <c r="U44" s="43"/>
      <c r="V44" s="27">
        <f>SUM(V20,V31,V36,V42)</f>
        <v>55764.45</v>
      </c>
    </row>
    <row r="45" spans="1:36">
      <c r="B45" s="6"/>
      <c r="C45" s="6"/>
    </row>
    <row r="46" spans="1:36">
      <c r="F46" s="39">
        <v>3172.16</v>
      </c>
      <c r="G46" s="39">
        <v>6144.14</v>
      </c>
      <c r="H46" s="39">
        <v>5728.5399999999991</v>
      </c>
      <c r="I46" s="39">
        <v>4425.78</v>
      </c>
      <c r="J46" s="39">
        <v>2484.1999999999998</v>
      </c>
      <c r="K46" s="39">
        <v>3464.1</v>
      </c>
      <c r="N46" s="39">
        <v>3403.79</v>
      </c>
      <c r="O46" s="39">
        <v>5700.9400000000005</v>
      </c>
      <c r="P46" s="39">
        <v>3984.1400000000003</v>
      </c>
      <c r="Q46" s="39">
        <v>7753.5</v>
      </c>
      <c r="R46" s="39">
        <v>4467.92</v>
      </c>
      <c r="S46" s="39">
        <v>5035.24</v>
      </c>
    </row>
  </sheetData>
  <pageMargins left="0.7" right="0.7" top="0.75" bottom="0.75" header="0.3" footer="0.3"/>
  <pageSetup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A1:AO43"/>
  <sheetViews>
    <sheetView workbookViewId="0">
      <pane xSplit="3" ySplit="6" topLeftCell="D7" activePane="bottomRight" state="frozen"/>
      <selection activeCell="AF25" sqref="AF24:AF25"/>
      <selection pane="topRight" activeCell="AF25" sqref="AF24:AF25"/>
      <selection pane="bottomLeft" activeCell="AF25" sqref="AF24:AF25"/>
      <selection pane="bottomRight" activeCell="D7" sqref="D7"/>
    </sheetView>
  </sheetViews>
  <sheetFormatPr defaultRowHeight="12.75" outlineLevelCol="1"/>
  <cols>
    <col min="1" max="1" width="35.28515625" style="5" customWidth="1"/>
    <col min="2" max="2" width="22.7109375" style="16" customWidth="1"/>
    <col min="3" max="3" width="29.140625" style="16" bestFit="1" customWidth="1"/>
    <col min="4" max="4" width="9" style="5" customWidth="1"/>
    <col min="5" max="5" width="2.5703125" style="5" customWidth="1"/>
    <col min="6" max="6" width="10.5703125" style="5" hidden="1" customWidth="1" outlineLevel="1"/>
    <col min="7" max="10" width="10" style="5" hidden="1" customWidth="1" outlineLevel="1"/>
    <col min="11" max="11" width="11.28515625" style="5" hidden="1" customWidth="1" outlineLevel="1"/>
    <col min="12" max="12" width="11" style="5" bestFit="1" customWidth="1" collapsed="1"/>
    <col min="13" max="13" width="2" style="5" customWidth="1"/>
    <col min="14" max="18" width="10" style="5" hidden="1" customWidth="1" outlineLevel="1"/>
    <col min="19" max="19" width="11.28515625" style="5" hidden="1" customWidth="1" outlineLevel="1"/>
    <col min="20" max="20" width="11" style="5" bestFit="1" customWidth="1" collapsed="1"/>
    <col min="21" max="21" width="3.42578125" style="5" customWidth="1"/>
    <col min="22" max="22" width="11" style="5" customWidth="1"/>
    <col min="23" max="23" width="9.140625" style="5"/>
    <col min="24" max="29" width="9.42578125" style="5" hidden="1" customWidth="1" outlineLevel="1"/>
    <col min="30" max="32" width="8" style="5" hidden="1" customWidth="1" outlineLevel="1"/>
    <col min="33" max="33" width="9.42578125" style="5" hidden="1" customWidth="1" outlineLevel="1"/>
    <col min="34" max="34" width="6.85546875" style="5" hidden="1" customWidth="1" outlineLevel="1"/>
    <col min="35" max="35" width="6.140625" style="5" hidden="1" customWidth="1" outlineLevel="1"/>
    <col min="36" max="36" width="6.5703125" style="5" bestFit="1" customWidth="1" collapsed="1"/>
    <col min="37" max="37" width="5.7109375" style="5" bestFit="1" customWidth="1"/>
    <col min="38" max="38" width="7.5703125" style="5" bestFit="1" customWidth="1"/>
    <col min="39" max="16384" width="9.140625" style="5"/>
  </cols>
  <sheetData>
    <row r="1" spans="1:41" ht="12" customHeight="1">
      <c r="B1" s="1" t="s">
        <v>28</v>
      </c>
      <c r="C1" s="2"/>
      <c r="D1" s="3"/>
      <c r="E1" s="3"/>
      <c r="F1" s="4"/>
      <c r="G1" s="4"/>
      <c r="H1" s="4"/>
      <c r="I1" s="4"/>
      <c r="J1" s="4"/>
      <c r="K1" s="4"/>
      <c r="L1" s="4"/>
      <c r="M1" s="2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41" ht="12" customHeight="1">
      <c r="B2" s="1" t="s">
        <v>248</v>
      </c>
      <c r="C2" s="2"/>
      <c r="D2" s="100" t="s">
        <v>494</v>
      </c>
      <c r="E2" s="100"/>
      <c r="G2" s="4"/>
      <c r="H2" s="4"/>
      <c r="I2" s="4"/>
      <c r="J2" s="4"/>
      <c r="K2" s="4"/>
      <c r="L2" s="4"/>
      <c r="M2" s="2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41" ht="12" customHeight="1">
      <c r="B3" s="6" t="str">
        <f>'Army Non-Reg - Price Out'!B3</f>
        <v>July 1, 2015 - June 30, 2016</v>
      </c>
      <c r="C3" s="2"/>
      <c r="D3" s="3"/>
      <c r="E3" s="3"/>
      <c r="F3" s="7"/>
      <c r="G3" s="4"/>
      <c r="H3" s="4"/>
      <c r="I3" s="4"/>
      <c r="J3" s="4"/>
      <c r="K3" s="4"/>
      <c r="L3" s="4"/>
      <c r="M3" s="2"/>
      <c r="N3" s="7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41" ht="12" customHeight="1">
      <c r="B4" s="2"/>
      <c r="C4" s="8"/>
      <c r="D4" s="9" t="s">
        <v>558</v>
      </c>
      <c r="E4" s="13"/>
      <c r="F4" s="103">
        <v>42186</v>
      </c>
      <c r="G4" s="103">
        <v>42217</v>
      </c>
      <c r="H4" s="103">
        <v>42248</v>
      </c>
      <c r="I4" s="103">
        <v>42278</v>
      </c>
      <c r="J4" s="103">
        <v>42309</v>
      </c>
      <c r="K4" s="103">
        <v>42339</v>
      </c>
      <c r="L4" s="104">
        <v>2015</v>
      </c>
      <c r="M4" s="2"/>
      <c r="N4" s="10">
        <v>42370</v>
      </c>
      <c r="O4" s="10">
        <v>42401</v>
      </c>
      <c r="P4" s="10">
        <v>42430</v>
      </c>
      <c r="Q4" s="10">
        <v>42461</v>
      </c>
      <c r="R4" s="10">
        <v>42491</v>
      </c>
      <c r="S4" s="10">
        <v>42522</v>
      </c>
      <c r="T4" s="11">
        <v>2016</v>
      </c>
      <c r="U4" s="8"/>
      <c r="V4" s="11" t="s">
        <v>0</v>
      </c>
      <c r="W4" s="4"/>
      <c r="X4" s="12">
        <v>42186</v>
      </c>
      <c r="Y4" s="12">
        <v>42217</v>
      </c>
      <c r="Z4" s="12">
        <v>42248</v>
      </c>
      <c r="AA4" s="12">
        <v>42278</v>
      </c>
      <c r="AB4" s="12">
        <v>42309</v>
      </c>
      <c r="AC4" s="12">
        <v>42339</v>
      </c>
      <c r="AD4" s="12">
        <v>42370</v>
      </c>
      <c r="AE4" s="12">
        <v>42401</v>
      </c>
      <c r="AF4" s="12">
        <v>42430</v>
      </c>
      <c r="AG4" s="12">
        <v>42461</v>
      </c>
      <c r="AH4" s="12">
        <v>42491</v>
      </c>
      <c r="AI4" s="12">
        <v>42522</v>
      </c>
      <c r="AJ4" s="12" t="s">
        <v>462</v>
      </c>
      <c r="AK4" s="12" t="s">
        <v>490</v>
      </c>
      <c r="AL4" s="92" t="s">
        <v>492</v>
      </c>
    </row>
    <row r="5" spans="1:41" ht="12" customHeight="1">
      <c r="B5" s="13" t="s">
        <v>1</v>
      </c>
      <c r="C5" s="8" t="s">
        <v>2</v>
      </c>
      <c r="D5" s="14" t="s">
        <v>3</v>
      </c>
      <c r="E5" s="102"/>
      <c r="F5" s="104" t="s">
        <v>4</v>
      </c>
      <c r="G5" s="104" t="s">
        <v>4</v>
      </c>
      <c r="H5" s="104" t="s">
        <v>4</v>
      </c>
      <c r="I5" s="104" t="s">
        <v>4</v>
      </c>
      <c r="J5" s="104" t="s">
        <v>4</v>
      </c>
      <c r="K5" s="104" t="s">
        <v>4</v>
      </c>
      <c r="L5" s="104" t="s">
        <v>4</v>
      </c>
      <c r="M5" s="8"/>
      <c r="N5" s="11" t="s">
        <v>4</v>
      </c>
      <c r="O5" s="11" t="s">
        <v>4</v>
      </c>
      <c r="P5" s="11" t="s">
        <v>4</v>
      </c>
      <c r="Q5" s="11" t="s">
        <v>4</v>
      </c>
      <c r="R5" s="11" t="s">
        <v>4</v>
      </c>
      <c r="S5" s="11" t="s">
        <v>4</v>
      </c>
      <c r="T5" s="11" t="s">
        <v>4</v>
      </c>
      <c r="U5" s="8"/>
      <c r="V5" s="11" t="s">
        <v>4</v>
      </c>
      <c r="W5" s="4"/>
      <c r="X5" s="15" t="s">
        <v>5</v>
      </c>
      <c r="Y5" s="15" t="s">
        <v>5</v>
      </c>
      <c r="Z5" s="15" t="s">
        <v>5</v>
      </c>
      <c r="AA5" s="15" t="s">
        <v>5</v>
      </c>
      <c r="AB5" s="15" t="s">
        <v>5</v>
      </c>
      <c r="AC5" s="15" t="s">
        <v>5</v>
      </c>
      <c r="AD5" s="15" t="s">
        <v>5</v>
      </c>
      <c r="AE5" s="15" t="s">
        <v>5</v>
      </c>
      <c r="AF5" s="15" t="s">
        <v>5</v>
      </c>
      <c r="AG5" s="15" t="s">
        <v>5</v>
      </c>
      <c r="AH5" s="15" t="s">
        <v>5</v>
      </c>
      <c r="AI5" s="15" t="s">
        <v>5</v>
      </c>
      <c r="AJ5" s="15" t="s">
        <v>491</v>
      </c>
      <c r="AK5" s="15" t="s">
        <v>489</v>
      </c>
      <c r="AL5" s="93" t="s">
        <v>491</v>
      </c>
    </row>
    <row r="6" spans="1:41" ht="12" customHeight="1"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</row>
    <row r="7" spans="1:41" s="4" customFormat="1" ht="12" customHeight="1">
      <c r="C7" s="2"/>
      <c r="D7" s="3"/>
      <c r="E7" s="3"/>
      <c r="M7" s="2"/>
      <c r="AJ7" s="5"/>
    </row>
    <row r="8" spans="1:41" s="4" customFormat="1" ht="12" customHeight="1">
      <c r="D8" s="3"/>
      <c r="E8" s="3"/>
      <c r="M8" s="17"/>
      <c r="AJ8" s="5"/>
      <c r="AN8" s="4" t="s">
        <v>478</v>
      </c>
      <c r="AO8" s="4">
        <f>SUM(AK33:AK33,AK12:AK16)</f>
        <v>163.02083333333334</v>
      </c>
    </row>
    <row r="9" spans="1:41" s="4" customFormat="1" ht="12" customHeight="1">
      <c r="B9" s="18" t="s">
        <v>6</v>
      </c>
      <c r="C9" s="18" t="s">
        <v>6</v>
      </c>
      <c r="D9" s="3"/>
      <c r="E9" s="3"/>
      <c r="M9" s="17"/>
      <c r="AJ9" s="5"/>
      <c r="AN9" s="4" t="s">
        <v>479</v>
      </c>
      <c r="AO9" s="89">
        <f>SUM(AK27:AK32)</f>
        <v>20.291666666666664</v>
      </c>
    </row>
    <row r="10" spans="1:41" s="4" customFormat="1" ht="12" customHeight="1">
      <c r="B10" s="18"/>
      <c r="C10" s="18"/>
      <c r="D10" s="3"/>
      <c r="E10" s="3"/>
      <c r="M10" s="17"/>
      <c r="AJ10" s="5"/>
    </row>
    <row r="11" spans="1:41" s="4" customFormat="1" ht="12" customHeight="1">
      <c r="B11" s="19" t="s">
        <v>7</v>
      </c>
      <c r="C11" s="19" t="s">
        <v>7</v>
      </c>
      <c r="D11" s="20"/>
      <c r="E11" s="20"/>
      <c r="F11" s="22"/>
      <c r="G11" s="22"/>
      <c r="H11" s="22"/>
      <c r="I11" s="22"/>
      <c r="J11" s="22"/>
      <c r="K11" s="22"/>
      <c r="L11" s="23"/>
      <c r="M11" s="20"/>
      <c r="N11" s="22"/>
      <c r="O11" s="22"/>
      <c r="P11" s="22"/>
      <c r="Q11" s="22"/>
      <c r="R11" s="22"/>
      <c r="S11" s="22"/>
      <c r="T11" s="23"/>
      <c r="U11" s="23"/>
      <c r="V11" s="23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5"/>
    </row>
    <row r="12" spans="1:41" s="4" customFormat="1" ht="12" customHeight="1">
      <c r="A12" s="4" t="str">
        <f t="shared" ref="A12:A20" si="0">"HARRINGTON"&amp;"RESIDENTIAL"&amp;B12</f>
        <v>HARRINGTONRESIDENTIALRL032.0G1W001</v>
      </c>
      <c r="B12" s="5" t="s">
        <v>33</v>
      </c>
      <c r="C12" s="5" t="s">
        <v>34</v>
      </c>
      <c r="D12" s="20">
        <v>9.5</v>
      </c>
      <c r="E12" s="20"/>
      <c r="F12" s="21">
        <v>104.5</v>
      </c>
      <c r="G12" s="21">
        <v>104.5</v>
      </c>
      <c r="H12" s="21">
        <v>104.5</v>
      </c>
      <c r="I12" s="21">
        <v>95.01</v>
      </c>
      <c r="J12" s="21">
        <v>85.5</v>
      </c>
      <c r="K12" s="21">
        <v>95</v>
      </c>
      <c r="L12" s="23">
        <f t="shared" ref="L12:L20" si="1">SUM(F12:K12)</f>
        <v>589.01</v>
      </c>
      <c r="M12" s="20"/>
      <c r="N12" s="21">
        <v>76</v>
      </c>
      <c r="O12" s="21">
        <v>85.5</v>
      </c>
      <c r="P12" s="21">
        <v>85.5</v>
      </c>
      <c r="Q12" s="21">
        <v>85.5</v>
      </c>
      <c r="R12" s="21">
        <v>87.88</v>
      </c>
      <c r="S12" s="21">
        <v>85.5</v>
      </c>
      <c r="T12" s="23">
        <f t="shared" ref="T12:T20" si="2">SUM(N12:S12)</f>
        <v>505.88</v>
      </c>
      <c r="U12" s="23"/>
      <c r="V12" s="23">
        <f t="shared" ref="V12:V20" si="3">L12+T12</f>
        <v>1094.8899999999999</v>
      </c>
      <c r="X12" s="22">
        <f>IFERROR(F12/$D12,0)</f>
        <v>11</v>
      </c>
      <c r="Y12" s="22">
        <f t="shared" ref="Y12:AC12" si="4">IFERROR(G12/$D12,0)</f>
        <v>11</v>
      </c>
      <c r="Z12" s="22">
        <f t="shared" si="4"/>
        <v>11</v>
      </c>
      <c r="AA12" s="22">
        <f t="shared" si="4"/>
        <v>10.001052631578949</v>
      </c>
      <c r="AB12" s="22">
        <f t="shared" si="4"/>
        <v>9</v>
      </c>
      <c r="AC12" s="22">
        <f t="shared" si="4"/>
        <v>10</v>
      </c>
      <c r="AD12" s="22">
        <f>IFERROR(N12/$D12,0)</f>
        <v>8</v>
      </c>
      <c r="AE12" s="22">
        <f t="shared" ref="AE12:AI12" si="5">IFERROR(O12/$D12,0)</f>
        <v>9</v>
      </c>
      <c r="AF12" s="22">
        <f t="shared" si="5"/>
        <v>9</v>
      </c>
      <c r="AG12" s="22">
        <f t="shared" si="5"/>
        <v>9</v>
      </c>
      <c r="AH12" s="22">
        <f t="shared" si="5"/>
        <v>9.2505263157894735</v>
      </c>
      <c r="AI12" s="22">
        <f t="shared" si="5"/>
        <v>9</v>
      </c>
      <c r="AJ12" s="91">
        <f>SUM(X12:AI12)/12</f>
        <v>9.604298245614034</v>
      </c>
      <c r="AK12" s="4">
        <v>0</v>
      </c>
      <c r="AL12" s="89">
        <f>SUM(X12:AI12)</f>
        <v>115.25157894736842</v>
      </c>
    </row>
    <row r="13" spans="1:41" s="4" customFormat="1" ht="12" customHeight="1">
      <c r="A13" s="4" t="str">
        <f t="shared" si="0"/>
        <v>HARRINGTONRESIDENTIALRL032.0G1W002</v>
      </c>
      <c r="B13" s="5" t="s">
        <v>35</v>
      </c>
      <c r="C13" s="5" t="s">
        <v>36</v>
      </c>
      <c r="D13" s="20">
        <v>10.5</v>
      </c>
      <c r="E13" s="20"/>
      <c r="F13" s="21">
        <v>42</v>
      </c>
      <c r="G13" s="21">
        <v>42</v>
      </c>
      <c r="H13" s="21">
        <v>42</v>
      </c>
      <c r="I13" s="21">
        <v>42</v>
      </c>
      <c r="J13" s="21">
        <v>42</v>
      </c>
      <c r="K13" s="21">
        <v>42</v>
      </c>
      <c r="L13" s="23">
        <f t="shared" si="1"/>
        <v>252</v>
      </c>
      <c r="M13" s="20"/>
      <c r="N13" s="21">
        <v>42</v>
      </c>
      <c r="O13" s="21">
        <v>36.75</v>
      </c>
      <c r="P13" s="21">
        <v>31.5</v>
      </c>
      <c r="Q13" s="21">
        <v>31.5</v>
      </c>
      <c r="R13" s="21">
        <v>23.63</v>
      </c>
      <c r="S13" s="21">
        <v>21</v>
      </c>
      <c r="T13" s="23">
        <f t="shared" si="2"/>
        <v>186.38</v>
      </c>
      <c r="U13" s="23"/>
      <c r="V13" s="23">
        <f t="shared" si="3"/>
        <v>438.38</v>
      </c>
      <c r="X13" s="22">
        <f t="shared" ref="X13:X16" si="6">IFERROR(F13/$D13,0)</f>
        <v>4</v>
      </c>
      <c r="Y13" s="22">
        <f t="shared" ref="Y13:Y16" si="7">IFERROR(G13/$D13,0)</f>
        <v>4</v>
      </c>
      <c r="Z13" s="22">
        <f t="shared" ref="Z13:Z16" si="8">IFERROR(H13/$D13,0)</f>
        <v>4</v>
      </c>
      <c r="AA13" s="22">
        <f t="shared" ref="AA13:AA16" si="9">IFERROR(I13/$D13,0)</f>
        <v>4</v>
      </c>
      <c r="AB13" s="22">
        <f t="shared" ref="AB13:AB16" si="10">IFERROR(J13/$D13,0)</f>
        <v>4</v>
      </c>
      <c r="AC13" s="22">
        <f t="shared" ref="AC13:AC16" si="11">IFERROR(K13/$D13,0)</f>
        <v>4</v>
      </c>
      <c r="AD13" s="22">
        <f t="shared" ref="AD13:AD16" si="12">IFERROR(N13/$D13,0)</f>
        <v>4</v>
      </c>
      <c r="AE13" s="22">
        <f t="shared" ref="AE13:AE16" si="13">IFERROR(O13/$D13,0)</f>
        <v>3.5</v>
      </c>
      <c r="AF13" s="22">
        <f t="shared" ref="AF13:AF16" si="14">IFERROR(P13/$D13,0)</f>
        <v>3</v>
      </c>
      <c r="AG13" s="22">
        <f t="shared" ref="AG13:AG16" si="15">IFERROR(Q13/$D13,0)</f>
        <v>3</v>
      </c>
      <c r="AH13" s="22">
        <f t="shared" ref="AH13:AH16" si="16">IFERROR(R13/$D13,0)</f>
        <v>2.2504761904761903</v>
      </c>
      <c r="AI13" s="22">
        <f t="shared" ref="AI13:AI16" si="17">IFERROR(S13/$D13,0)</f>
        <v>2</v>
      </c>
      <c r="AJ13" s="91">
        <f t="shared" ref="AJ13:AJ16" si="18">SUM(X13:AI13)/12</f>
        <v>3.4792063492063492</v>
      </c>
      <c r="AK13" s="22">
        <v>0</v>
      </c>
      <c r="AL13" s="89">
        <f t="shared" ref="AL13:AL19" si="19">SUM(X13:AI13)</f>
        <v>41.750476190476192</v>
      </c>
    </row>
    <row r="14" spans="1:41" s="4" customFormat="1" ht="12" customHeight="1">
      <c r="A14" s="4" t="str">
        <f t="shared" si="0"/>
        <v>HARRINGTONRESIDENTIALRL065.0G1W001</v>
      </c>
      <c r="B14" s="5" t="s">
        <v>39</v>
      </c>
      <c r="C14" s="5" t="s">
        <v>40</v>
      </c>
      <c r="D14" s="20">
        <v>9</v>
      </c>
      <c r="E14" s="20"/>
      <c r="F14" s="21">
        <v>162</v>
      </c>
      <c r="G14" s="21">
        <v>157.5</v>
      </c>
      <c r="H14" s="21">
        <v>153</v>
      </c>
      <c r="I14" s="21">
        <v>153</v>
      </c>
      <c r="J14" s="21">
        <v>153</v>
      </c>
      <c r="K14" s="21">
        <v>153</v>
      </c>
      <c r="L14" s="23">
        <f t="shared" si="1"/>
        <v>931.5</v>
      </c>
      <c r="M14" s="20"/>
      <c r="N14" s="21">
        <v>135</v>
      </c>
      <c r="O14" s="21">
        <v>139.5</v>
      </c>
      <c r="P14" s="21">
        <v>135</v>
      </c>
      <c r="Q14" s="21">
        <v>144</v>
      </c>
      <c r="R14" s="21">
        <v>144</v>
      </c>
      <c r="S14" s="21">
        <v>150.75</v>
      </c>
      <c r="T14" s="23">
        <f t="shared" si="2"/>
        <v>848.25</v>
      </c>
      <c r="U14" s="23"/>
      <c r="V14" s="23">
        <f t="shared" si="3"/>
        <v>1779.75</v>
      </c>
      <c r="X14" s="22">
        <f t="shared" si="6"/>
        <v>18</v>
      </c>
      <c r="Y14" s="22">
        <f t="shared" si="7"/>
        <v>17.5</v>
      </c>
      <c r="Z14" s="22">
        <f t="shared" si="8"/>
        <v>17</v>
      </c>
      <c r="AA14" s="22">
        <f t="shared" si="9"/>
        <v>17</v>
      </c>
      <c r="AB14" s="22">
        <f t="shared" si="10"/>
        <v>17</v>
      </c>
      <c r="AC14" s="22">
        <f t="shared" si="11"/>
        <v>17</v>
      </c>
      <c r="AD14" s="22">
        <f t="shared" si="12"/>
        <v>15</v>
      </c>
      <c r="AE14" s="22">
        <f t="shared" si="13"/>
        <v>15.5</v>
      </c>
      <c r="AF14" s="22">
        <f t="shared" si="14"/>
        <v>15</v>
      </c>
      <c r="AG14" s="22">
        <f t="shared" si="15"/>
        <v>16</v>
      </c>
      <c r="AH14" s="22">
        <f t="shared" si="16"/>
        <v>16</v>
      </c>
      <c r="AI14" s="22">
        <f t="shared" si="17"/>
        <v>16.75</v>
      </c>
      <c r="AJ14" s="91">
        <f t="shared" si="18"/>
        <v>16.479166666666668</v>
      </c>
      <c r="AK14" s="22">
        <f>+AJ14</f>
        <v>16.479166666666668</v>
      </c>
      <c r="AL14" s="89">
        <f t="shared" si="19"/>
        <v>197.75</v>
      </c>
    </row>
    <row r="15" spans="1:41" s="4" customFormat="1" ht="12" customHeight="1">
      <c r="A15" s="4" t="str">
        <f t="shared" si="0"/>
        <v>HARRINGTONRESIDENTIALRL090.0G1W001</v>
      </c>
      <c r="B15" s="5" t="s">
        <v>43</v>
      </c>
      <c r="C15" s="5" t="s">
        <v>44</v>
      </c>
      <c r="D15" s="20">
        <v>10</v>
      </c>
      <c r="E15" s="20"/>
      <c r="F15" s="21">
        <v>1285</v>
      </c>
      <c r="G15" s="21">
        <v>1282.5</v>
      </c>
      <c r="H15" s="21">
        <v>1300</v>
      </c>
      <c r="I15" s="21">
        <v>1320</v>
      </c>
      <c r="J15" s="21">
        <v>1300</v>
      </c>
      <c r="K15" s="21">
        <v>1272.5</v>
      </c>
      <c r="L15" s="23">
        <f t="shared" si="1"/>
        <v>7760</v>
      </c>
      <c r="M15" s="20"/>
      <c r="N15" s="21">
        <v>1252.5</v>
      </c>
      <c r="O15" s="21">
        <v>1265</v>
      </c>
      <c r="P15" s="21">
        <v>1270</v>
      </c>
      <c r="Q15" s="21">
        <v>1295</v>
      </c>
      <c r="R15" s="21">
        <v>1310</v>
      </c>
      <c r="S15" s="21">
        <v>1312.5</v>
      </c>
      <c r="T15" s="23">
        <f t="shared" si="2"/>
        <v>7705</v>
      </c>
      <c r="U15" s="23"/>
      <c r="V15" s="23">
        <f t="shared" si="3"/>
        <v>15465</v>
      </c>
      <c r="X15" s="22">
        <f t="shared" si="6"/>
        <v>128.5</v>
      </c>
      <c r="Y15" s="22">
        <f t="shared" si="7"/>
        <v>128.25</v>
      </c>
      <c r="Z15" s="22">
        <f t="shared" si="8"/>
        <v>130</v>
      </c>
      <c r="AA15" s="22">
        <f t="shared" si="9"/>
        <v>132</v>
      </c>
      <c r="AB15" s="22">
        <f t="shared" si="10"/>
        <v>130</v>
      </c>
      <c r="AC15" s="22">
        <f t="shared" si="11"/>
        <v>127.25</v>
      </c>
      <c r="AD15" s="22">
        <f t="shared" si="12"/>
        <v>125.25</v>
      </c>
      <c r="AE15" s="22">
        <f t="shared" si="13"/>
        <v>126.5</v>
      </c>
      <c r="AF15" s="22">
        <f t="shared" si="14"/>
        <v>127</v>
      </c>
      <c r="AG15" s="22">
        <f t="shared" si="15"/>
        <v>129.5</v>
      </c>
      <c r="AH15" s="22">
        <f t="shared" si="16"/>
        <v>131</v>
      </c>
      <c r="AI15" s="22">
        <f t="shared" si="17"/>
        <v>131.25</v>
      </c>
      <c r="AJ15" s="91">
        <f t="shared" si="18"/>
        <v>128.875</v>
      </c>
      <c r="AK15" s="22">
        <f>+AJ15*1</f>
        <v>128.875</v>
      </c>
      <c r="AL15" s="89">
        <f t="shared" si="19"/>
        <v>1546.5</v>
      </c>
    </row>
    <row r="16" spans="1:41" s="4" customFormat="1" ht="12" customHeight="1">
      <c r="A16" s="4" t="str">
        <f t="shared" si="0"/>
        <v>HARRINGTONRESIDENTIALRL090.0G1W002</v>
      </c>
      <c r="B16" s="5" t="s">
        <v>45</v>
      </c>
      <c r="C16" s="5" t="s">
        <v>46</v>
      </c>
      <c r="D16" s="20">
        <v>20</v>
      </c>
      <c r="E16" s="20"/>
      <c r="F16" s="21">
        <v>40</v>
      </c>
      <c r="G16" s="21">
        <v>40</v>
      </c>
      <c r="H16" s="21">
        <v>40</v>
      </c>
      <c r="I16" s="21">
        <v>40</v>
      </c>
      <c r="J16" s="21">
        <v>40</v>
      </c>
      <c r="K16" s="21">
        <v>40</v>
      </c>
      <c r="L16" s="23">
        <f t="shared" si="1"/>
        <v>240</v>
      </c>
      <c r="M16" s="20"/>
      <c r="N16" s="21">
        <v>40</v>
      </c>
      <c r="O16" s="21">
        <v>40</v>
      </c>
      <c r="P16" s="21">
        <v>40</v>
      </c>
      <c r="Q16" s="21">
        <v>40</v>
      </c>
      <c r="R16" s="21">
        <v>40</v>
      </c>
      <c r="S16" s="21">
        <v>40</v>
      </c>
      <c r="T16" s="23">
        <f t="shared" si="2"/>
        <v>240</v>
      </c>
      <c r="U16" s="23"/>
      <c r="V16" s="23">
        <f t="shared" si="3"/>
        <v>480</v>
      </c>
      <c r="X16" s="22">
        <f t="shared" si="6"/>
        <v>2</v>
      </c>
      <c r="Y16" s="22">
        <f t="shared" si="7"/>
        <v>2</v>
      </c>
      <c r="Z16" s="22">
        <f t="shared" si="8"/>
        <v>2</v>
      </c>
      <c r="AA16" s="22">
        <f t="shared" si="9"/>
        <v>2</v>
      </c>
      <c r="AB16" s="22">
        <f t="shared" si="10"/>
        <v>2</v>
      </c>
      <c r="AC16" s="22">
        <f t="shared" si="11"/>
        <v>2</v>
      </c>
      <c r="AD16" s="22">
        <f t="shared" si="12"/>
        <v>2</v>
      </c>
      <c r="AE16" s="22">
        <f t="shared" si="13"/>
        <v>2</v>
      </c>
      <c r="AF16" s="22">
        <f t="shared" si="14"/>
        <v>2</v>
      </c>
      <c r="AG16" s="22">
        <f t="shared" si="15"/>
        <v>2</v>
      </c>
      <c r="AH16" s="22">
        <f t="shared" si="16"/>
        <v>2</v>
      </c>
      <c r="AI16" s="22">
        <f t="shared" si="17"/>
        <v>2</v>
      </c>
      <c r="AJ16" s="91">
        <f t="shared" si="18"/>
        <v>2</v>
      </c>
      <c r="AK16" s="22">
        <f>+AJ16*2</f>
        <v>4</v>
      </c>
      <c r="AL16" s="89">
        <f t="shared" si="19"/>
        <v>24</v>
      </c>
    </row>
    <row r="17" spans="1:38" s="4" customFormat="1" ht="12" customHeight="1">
      <c r="A17" s="4" t="str">
        <f t="shared" si="0"/>
        <v>HARRINGTONRESIDENTIALEXTRA-RES</v>
      </c>
      <c r="B17" s="5" t="s">
        <v>51</v>
      </c>
      <c r="C17" s="5" t="s">
        <v>52</v>
      </c>
      <c r="D17" s="20">
        <v>1.8</v>
      </c>
      <c r="E17" s="20"/>
      <c r="F17" s="21">
        <v>19.8</v>
      </c>
      <c r="G17" s="21">
        <v>12.6</v>
      </c>
      <c r="H17" s="21">
        <v>9</v>
      </c>
      <c r="I17" s="21">
        <v>28.8</v>
      </c>
      <c r="J17" s="21">
        <v>39.6</v>
      </c>
      <c r="K17" s="21">
        <v>12.6</v>
      </c>
      <c r="L17" s="23">
        <f t="shared" si="1"/>
        <v>122.4</v>
      </c>
      <c r="M17" s="20"/>
      <c r="N17" s="21">
        <v>27</v>
      </c>
      <c r="O17" s="21">
        <v>10.8</v>
      </c>
      <c r="P17" s="21">
        <v>18</v>
      </c>
      <c r="Q17" s="21">
        <v>45</v>
      </c>
      <c r="R17" s="21">
        <v>5.4</v>
      </c>
      <c r="S17" s="21">
        <v>19.8</v>
      </c>
      <c r="T17" s="23">
        <f t="shared" si="2"/>
        <v>126</v>
      </c>
      <c r="U17" s="23"/>
      <c r="V17" s="23">
        <f t="shared" si="3"/>
        <v>248.4</v>
      </c>
      <c r="X17" s="22">
        <f t="shared" ref="X17:X19" si="20">IFERROR(F17/$D17,0)</f>
        <v>11</v>
      </c>
      <c r="Y17" s="22">
        <f t="shared" ref="Y17:Y19" si="21">IFERROR(G17/$D17,0)</f>
        <v>7</v>
      </c>
      <c r="Z17" s="22">
        <f t="shared" ref="Z17:Z19" si="22">IFERROR(H17/$D17,0)</f>
        <v>5</v>
      </c>
      <c r="AA17" s="22">
        <f t="shared" ref="AA17:AA19" si="23">IFERROR(I17/$D17,0)</f>
        <v>16</v>
      </c>
      <c r="AB17" s="22">
        <f t="shared" ref="AB17:AB19" si="24">IFERROR(J17/$D17,0)</f>
        <v>22</v>
      </c>
      <c r="AC17" s="22">
        <f t="shared" ref="AC17:AC19" si="25">IFERROR(K17/$D17,0)</f>
        <v>7</v>
      </c>
      <c r="AD17" s="22">
        <f t="shared" ref="AD17:AD19" si="26">IFERROR(N17/$D17,0)</f>
        <v>15</v>
      </c>
      <c r="AE17" s="22">
        <f t="shared" ref="AE17:AE19" si="27">IFERROR(O17/$D17,0)</f>
        <v>6</v>
      </c>
      <c r="AF17" s="22">
        <f t="shared" ref="AF17:AF19" si="28">IFERROR(P17/$D17,0)</f>
        <v>10</v>
      </c>
      <c r="AG17" s="22">
        <f t="shared" ref="AG17:AG19" si="29">IFERROR(Q17/$D17,0)</f>
        <v>25</v>
      </c>
      <c r="AH17" s="22">
        <f t="shared" ref="AH17:AH19" si="30">IFERROR(R17/$D17,0)</f>
        <v>3</v>
      </c>
      <c r="AI17" s="22">
        <f t="shared" ref="AI17:AI19" si="31">IFERROR(S17/$D17,0)</f>
        <v>11</v>
      </c>
      <c r="AJ17" s="91">
        <f t="shared" ref="AJ17:AJ19" si="32">SUM(X17:AI17)/12</f>
        <v>11.5</v>
      </c>
      <c r="AL17" s="89">
        <f t="shared" si="19"/>
        <v>138</v>
      </c>
    </row>
    <row r="18" spans="1:38" s="4" customFormat="1" ht="12" customHeight="1">
      <c r="A18" s="4" t="str">
        <f t="shared" si="0"/>
        <v>HARRINGTONRESIDENTIALOS-RES</v>
      </c>
      <c r="B18" s="5" t="s">
        <v>57</v>
      </c>
      <c r="C18" s="5" t="s">
        <v>58</v>
      </c>
      <c r="D18" s="20">
        <v>3</v>
      </c>
      <c r="E18" s="20"/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3">
        <f t="shared" si="1"/>
        <v>0</v>
      </c>
      <c r="M18" s="20"/>
      <c r="N18" s="21">
        <v>0</v>
      </c>
      <c r="O18" s="21">
        <v>0</v>
      </c>
      <c r="P18" s="21">
        <v>0</v>
      </c>
      <c r="Q18" s="21">
        <v>5.4</v>
      </c>
      <c r="R18" s="21">
        <v>0</v>
      </c>
      <c r="S18" s="21">
        <v>0</v>
      </c>
      <c r="T18" s="23">
        <f t="shared" si="2"/>
        <v>5.4</v>
      </c>
      <c r="U18" s="23"/>
      <c r="V18" s="23">
        <f t="shared" si="3"/>
        <v>5.4</v>
      </c>
      <c r="X18" s="22">
        <f t="shared" si="20"/>
        <v>0</v>
      </c>
      <c r="Y18" s="22">
        <f t="shared" si="21"/>
        <v>0</v>
      </c>
      <c r="Z18" s="22">
        <f t="shared" si="22"/>
        <v>0</v>
      </c>
      <c r="AA18" s="22">
        <f t="shared" si="23"/>
        <v>0</v>
      </c>
      <c r="AB18" s="22">
        <f t="shared" si="24"/>
        <v>0</v>
      </c>
      <c r="AC18" s="22">
        <f t="shared" si="25"/>
        <v>0</v>
      </c>
      <c r="AD18" s="22">
        <f t="shared" si="26"/>
        <v>0</v>
      </c>
      <c r="AE18" s="22">
        <f t="shared" si="27"/>
        <v>0</v>
      </c>
      <c r="AF18" s="22">
        <f t="shared" si="28"/>
        <v>0</v>
      </c>
      <c r="AG18" s="22">
        <f t="shared" si="29"/>
        <v>1.8</v>
      </c>
      <c r="AH18" s="22">
        <f t="shared" si="30"/>
        <v>0</v>
      </c>
      <c r="AI18" s="22">
        <f t="shared" si="31"/>
        <v>0</v>
      </c>
      <c r="AJ18" s="91">
        <f t="shared" si="32"/>
        <v>0.15</v>
      </c>
      <c r="AL18" s="89">
        <f t="shared" si="19"/>
        <v>1.8</v>
      </c>
    </row>
    <row r="19" spans="1:38" s="4" customFormat="1" ht="12" customHeight="1">
      <c r="A19" s="4" t="str">
        <f t="shared" si="0"/>
        <v>HARRINGTONRESIDENTIALEXTRYDG-RES</v>
      </c>
      <c r="B19" s="5" t="s">
        <v>53</v>
      </c>
      <c r="C19" s="5" t="s">
        <v>54</v>
      </c>
      <c r="D19" s="20">
        <v>9.5</v>
      </c>
      <c r="E19" s="20"/>
      <c r="F19" s="21">
        <v>0</v>
      </c>
      <c r="G19" s="21">
        <v>0</v>
      </c>
      <c r="H19" s="21">
        <v>0</v>
      </c>
      <c r="I19" s="21">
        <v>0</v>
      </c>
      <c r="J19" s="21">
        <v>9.5</v>
      </c>
      <c r="K19" s="21">
        <v>0</v>
      </c>
      <c r="L19" s="23">
        <f t="shared" si="1"/>
        <v>9.5</v>
      </c>
      <c r="M19" s="20"/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9.5</v>
      </c>
      <c r="T19" s="23">
        <f t="shared" si="2"/>
        <v>9.5</v>
      </c>
      <c r="U19" s="23"/>
      <c r="V19" s="23">
        <f t="shared" si="3"/>
        <v>19</v>
      </c>
      <c r="X19" s="22">
        <f t="shared" si="20"/>
        <v>0</v>
      </c>
      <c r="Y19" s="22">
        <f t="shared" si="21"/>
        <v>0</v>
      </c>
      <c r="Z19" s="22">
        <f t="shared" si="22"/>
        <v>0</v>
      </c>
      <c r="AA19" s="22">
        <f t="shared" si="23"/>
        <v>0</v>
      </c>
      <c r="AB19" s="22">
        <f t="shared" si="24"/>
        <v>1</v>
      </c>
      <c r="AC19" s="22">
        <f t="shared" si="25"/>
        <v>0</v>
      </c>
      <c r="AD19" s="22">
        <f t="shared" si="26"/>
        <v>0</v>
      </c>
      <c r="AE19" s="22">
        <f t="shared" si="27"/>
        <v>0</v>
      </c>
      <c r="AF19" s="22">
        <f t="shared" si="28"/>
        <v>0</v>
      </c>
      <c r="AG19" s="22">
        <f t="shared" si="29"/>
        <v>0</v>
      </c>
      <c r="AH19" s="22">
        <f t="shared" si="30"/>
        <v>0</v>
      </c>
      <c r="AI19" s="22">
        <f t="shared" si="31"/>
        <v>1</v>
      </c>
      <c r="AJ19" s="91">
        <f t="shared" si="32"/>
        <v>0.16666666666666666</v>
      </c>
      <c r="AL19" s="89">
        <f t="shared" si="19"/>
        <v>2</v>
      </c>
    </row>
    <row r="20" spans="1:38" s="2" customFormat="1" ht="12" customHeight="1">
      <c r="A20" s="4" t="str">
        <f t="shared" si="0"/>
        <v>HARRINGTONRESIDENTIALDIST-RES</v>
      </c>
      <c r="B20" s="5" t="s">
        <v>61</v>
      </c>
      <c r="C20" s="5" t="s">
        <v>62</v>
      </c>
      <c r="D20" s="20">
        <v>1.25</v>
      </c>
      <c r="E20" s="20"/>
      <c r="F20" s="21">
        <v>2.5</v>
      </c>
      <c r="G20" s="21">
        <v>2.5</v>
      </c>
      <c r="H20" s="21">
        <v>2.5</v>
      </c>
      <c r="I20" s="21">
        <v>2.5</v>
      </c>
      <c r="J20" s="21">
        <v>2.5</v>
      </c>
      <c r="K20" s="21">
        <v>2.5</v>
      </c>
      <c r="L20" s="23">
        <f t="shared" si="1"/>
        <v>15</v>
      </c>
      <c r="M20" s="20"/>
      <c r="N20" s="21">
        <v>2.5</v>
      </c>
      <c r="O20" s="21">
        <v>2.5</v>
      </c>
      <c r="P20" s="21">
        <v>2.5</v>
      </c>
      <c r="Q20" s="21">
        <v>2.5</v>
      </c>
      <c r="R20" s="21">
        <v>2.5</v>
      </c>
      <c r="S20" s="21">
        <v>2.5</v>
      </c>
      <c r="T20" s="23">
        <f t="shared" si="2"/>
        <v>15</v>
      </c>
      <c r="U20" s="23"/>
      <c r="V20" s="23">
        <f t="shared" si="3"/>
        <v>30</v>
      </c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</row>
    <row r="21" spans="1:38" s="4" customFormat="1" ht="12" customHeight="1" thickBot="1">
      <c r="B21" s="24"/>
      <c r="C21" s="24"/>
      <c r="D21" s="20"/>
      <c r="E21" s="20"/>
      <c r="F21" s="22"/>
      <c r="G21" s="22"/>
      <c r="H21" s="22"/>
      <c r="I21" s="22"/>
      <c r="J21" s="22"/>
      <c r="K21" s="22"/>
      <c r="L21" s="23"/>
      <c r="M21" s="20"/>
      <c r="N21" s="22"/>
      <c r="O21" s="22"/>
      <c r="P21" s="22"/>
      <c r="Q21" s="22"/>
      <c r="R21" s="22"/>
      <c r="S21" s="22"/>
      <c r="T21" s="23"/>
      <c r="U21" s="23"/>
      <c r="V21" s="23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5"/>
    </row>
    <row r="22" spans="1:38" s="2" customFormat="1" ht="12" customHeight="1" thickBot="1">
      <c r="B22" s="25"/>
      <c r="C22" s="26" t="s">
        <v>8</v>
      </c>
      <c r="D22" s="20"/>
      <c r="E22" s="20"/>
      <c r="F22" s="27">
        <f t="shared" ref="F22:L22" si="33">SUM(F12:F21)</f>
        <v>1655.8</v>
      </c>
      <c r="G22" s="27">
        <f t="shared" si="33"/>
        <v>1641.6</v>
      </c>
      <c r="H22" s="27">
        <f t="shared" si="33"/>
        <v>1651</v>
      </c>
      <c r="I22" s="27">
        <f t="shared" si="33"/>
        <v>1681.31</v>
      </c>
      <c r="J22" s="27">
        <f t="shared" si="33"/>
        <v>1672.1</v>
      </c>
      <c r="K22" s="27">
        <f t="shared" si="33"/>
        <v>1617.6</v>
      </c>
      <c r="L22" s="27">
        <f t="shared" si="33"/>
        <v>9919.41</v>
      </c>
      <c r="M22" s="20"/>
      <c r="N22" s="27">
        <f t="shared" ref="N22:T22" si="34">SUM(N12:N21)</f>
        <v>1575</v>
      </c>
      <c r="O22" s="27">
        <f t="shared" si="34"/>
        <v>1580.05</v>
      </c>
      <c r="P22" s="27">
        <f t="shared" si="34"/>
        <v>1582.5</v>
      </c>
      <c r="Q22" s="27">
        <f t="shared" si="34"/>
        <v>1648.9</v>
      </c>
      <c r="R22" s="27">
        <f t="shared" si="34"/>
        <v>1613.41</v>
      </c>
      <c r="S22" s="27">
        <f t="shared" si="34"/>
        <v>1641.55</v>
      </c>
      <c r="T22" s="27">
        <f t="shared" si="34"/>
        <v>9641.41</v>
      </c>
      <c r="U22" s="43"/>
      <c r="V22" s="27">
        <f>SUM(V12:V21)</f>
        <v>19560.820000000003</v>
      </c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85">
        <f>SUM(AJ12:AJ16)</f>
        <v>160.43767126148705</v>
      </c>
    </row>
    <row r="23" spans="1:38" s="4" customFormat="1" ht="12" customHeight="1">
      <c r="D23" s="20"/>
      <c r="E23" s="20"/>
      <c r="H23" s="2"/>
      <c r="L23" s="23"/>
      <c r="M23" s="20"/>
      <c r="P23" s="2"/>
      <c r="T23" s="23"/>
      <c r="U23" s="23"/>
      <c r="V23" s="23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5"/>
    </row>
    <row r="24" spans="1:38" ht="12" customHeight="1">
      <c r="B24" s="33" t="s">
        <v>11</v>
      </c>
      <c r="C24" s="33" t="s">
        <v>11</v>
      </c>
    </row>
    <row r="25" spans="1:38" ht="12" customHeight="1">
      <c r="B25" s="33"/>
      <c r="C25" s="33"/>
    </row>
    <row r="26" spans="1:38" s="4" customFormat="1" ht="12" customHeight="1">
      <c r="B26" s="19" t="s">
        <v>12</v>
      </c>
      <c r="C26" s="19" t="s">
        <v>12</v>
      </c>
      <c r="D26" s="20"/>
      <c r="E26" s="20"/>
      <c r="L26" s="23"/>
      <c r="M26" s="20"/>
      <c r="T26" s="23"/>
      <c r="U26" s="23"/>
      <c r="V26" s="23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5"/>
    </row>
    <row r="27" spans="1:38" s="4" customFormat="1" ht="12" customHeight="1">
      <c r="A27" s="4" t="str">
        <f>"HARRINGTON"&amp;"COMMERCIAL"&amp;B27</f>
        <v>HARRINGTONCOMMERCIALRL001.0Y1W001</v>
      </c>
      <c r="B27" s="5" t="s">
        <v>67</v>
      </c>
      <c r="C27" s="5" t="s">
        <v>68</v>
      </c>
      <c r="D27" s="20">
        <v>25</v>
      </c>
      <c r="E27" s="20"/>
      <c r="F27" s="21">
        <v>200</v>
      </c>
      <c r="G27" s="21">
        <v>200</v>
      </c>
      <c r="H27" s="21">
        <v>200</v>
      </c>
      <c r="I27" s="21">
        <v>200</v>
      </c>
      <c r="J27" s="21">
        <v>200</v>
      </c>
      <c r="K27" s="21">
        <v>200</v>
      </c>
      <c r="L27" s="23">
        <f t="shared" ref="L27:L37" si="35">SUM(F27:K27)</f>
        <v>1200</v>
      </c>
      <c r="M27" s="20"/>
      <c r="N27" s="21">
        <v>200</v>
      </c>
      <c r="O27" s="21">
        <v>181.25</v>
      </c>
      <c r="P27" s="21">
        <v>175</v>
      </c>
      <c r="Q27" s="21">
        <v>175</v>
      </c>
      <c r="R27" s="21">
        <v>175</v>
      </c>
      <c r="S27" s="21">
        <v>175</v>
      </c>
      <c r="T27" s="23">
        <f t="shared" ref="T27:T37" si="36">SUM(N27:S27)</f>
        <v>1081.25</v>
      </c>
      <c r="U27" s="23"/>
      <c r="V27" s="23">
        <f t="shared" ref="V27:V37" si="37">L27+T27</f>
        <v>2281.25</v>
      </c>
      <c r="X27" s="22">
        <f t="shared" ref="X27:X33" si="38">IFERROR(N27/$D27,0)</f>
        <v>8</v>
      </c>
      <c r="Y27" s="22">
        <f t="shared" ref="Y27:Y33" si="39">IFERROR(O27/$D27,0)</f>
        <v>7.25</v>
      </c>
      <c r="Z27" s="22">
        <f t="shared" ref="Z27:Z33" si="40">IFERROR(P27/$D27,0)</f>
        <v>7</v>
      </c>
      <c r="AA27" s="22">
        <f t="shared" ref="AA27:AA33" si="41">IFERROR(Q27/$D27,0)</f>
        <v>7</v>
      </c>
      <c r="AB27" s="22">
        <f t="shared" ref="AB27:AB33" si="42">IFERROR(R27/$D27,0)</f>
        <v>7</v>
      </c>
      <c r="AC27" s="22">
        <f t="shared" ref="AC27:AC33" si="43">IFERROR(S27/$D27,0)</f>
        <v>7</v>
      </c>
      <c r="AD27" s="22">
        <f t="shared" ref="AD27" si="44">IFERROR(N27/$D27,0)</f>
        <v>8</v>
      </c>
      <c r="AE27" s="22">
        <f t="shared" ref="AE27" si="45">IFERROR(O27/$D27,0)</f>
        <v>7.25</v>
      </c>
      <c r="AF27" s="22">
        <f t="shared" ref="AF27" si="46">IFERROR(P27/$D27,0)</f>
        <v>7</v>
      </c>
      <c r="AG27" s="22">
        <f t="shared" ref="AG27" si="47">IFERROR(Q27/$D27,0)</f>
        <v>7</v>
      </c>
      <c r="AH27" s="22">
        <f t="shared" ref="AH27" si="48">IFERROR(R27/$D27,0)</f>
        <v>7</v>
      </c>
      <c r="AI27" s="22">
        <f t="shared" ref="AI27" si="49">IFERROR(S27/$D27,0)</f>
        <v>7</v>
      </c>
      <c r="AJ27" s="91">
        <f>SUM(X27:AI27)/12</f>
        <v>7.208333333333333</v>
      </c>
      <c r="AK27" s="89">
        <f>+AJ27</f>
        <v>7.208333333333333</v>
      </c>
      <c r="AL27" s="89">
        <f t="shared" ref="AL27:AL35" si="50">SUM(X27:AI27)</f>
        <v>86.5</v>
      </c>
    </row>
    <row r="28" spans="1:38" s="4" customFormat="1" ht="12" customHeight="1">
      <c r="A28" s="4" t="str">
        <f t="shared" ref="A28:A37" si="51">"HARRINGTON"&amp;"COMMERCIAL"&amp;B28</f>
        <v>HARRINGTONCOMMERCIALRL001.0Y1W002</v>
      </c>
      <c r="B28" s="5" t="s">
        <v>241</v>
      </c>
      <c r="C28" s="5" t="s">
        <v>242</v>
      </c>
      <c r="D28" s="20">
        <v>50</v>
      </c>
      <c r="E28" s="20"/>
      <c r="F28" s="21">
        <v>50</v>
      </c>
      <c r="G28" s="21">
        <v>50</v>
      </c>
      <c r="H28" s="21">
        <v>50</v>
      </c>
      <c r="I28" s="21">
        <v>50</v>
      </c>
      <c r="J28" s="21">
        <v>50</v>
      </c>
      <c r="K28" s="21">
        <v>50</v>
      </c>
      <c r="L28" s="23">
        <f t="shared" si="35"/>
        <v>300</v>
      </c>
      <c r="M28" s="20"/>
      <c r="N28" s="21">
        <v>50</v>
      </c>
      <c r="O28" s="21">
        <v>50</v>
      </c>
      <c r="P28" s="21">
        <v>50</v>
      </c>
      <c r="Q28" s="21">
        <v>50</v>
      </c>
      <c r="R28" s="21">
        <v>50</v>
      </c>
      <c r="S28" s="21">
        <v>50</v>
      </c>
      <c r="T28" s="23">
        <f t="shared" si="36"/>
        <v>300</v>
      </c>
      <c r="U28" s="23"/>
      <c r="V28" s="23">
        <f t="shared" si="37"/>
        <v>600</v>
      </c>
      <c r="X28" s="22">
        <f t="shared" si="38"/>
        <v>1</v>
      </c>
      <c r="Y28" s="22">
        <f t="shared" si="39"/>
        <v>1</v>
      </c>
      <c r="Z28" s="22">
        <f t="shared" si="40"/>
        <v>1</v>
      </c>
      <c r="AA28" s="22">
        <f t="shared" si="41"/>
        <v>1</v>
      </c>
      <c r="AB28" s="22">
        <f t="shared" si="42"/>
        <v>1</v>
      </c>
      <c r="AC28" s="22">
        <f t="shared" si="43"/>
        <v>1</v>
      </c>
      <c r="AD28" s="22">
        <f t="shared" ref="AD28:AD33" si="52">IFERROR(N28/$D28,0)</f>
        <v>1</v>
      </c>
      <c r="AE28" s="22">
        <f t="shared" ref="AE28:AE33" si="53">IFERROR(O28/$D28,0)</f>
        <v>1</v>
      </c>
      <c r="AF28" s="22">
        <f t="shared" ref="AF28:AF33" si="54">IFERROR(P28/$D28,0)</f>
        <v>1</v>
      </c>
      <c r="AG28" s="22">
        <f t="shared" ref="AG28:AG33" si="55">IFERROR(Q28/$D28,0)</f>
        <v>1</v>
      </c>
      <c r="AH28" s="22">
        <f t="shared" ref="AH28:AH33" si="56">IFERROR(R28/$D28,0)</f>
        <v>1</v>
      </c>
      <c r="AI28" s="22">
        <f t="shared" ref="AI28:AI33" si="57">IFERROR(S28/$D28,0)</f>
        <v>1</v>
      </c>
      <c r="AJ28" s="91">
        <f t="shared" ref="AJ28:AJ33" si="58">SUM(X28:AI28)/12</f>
        <v>1</v>
      </c>
      <c r="AK28" s="22">
        <f>+AJ28*2</f>
        <v>2</v>
      </c>
      <c r="AL28" s="89">
        <f t="shared" si="50"/>
        <v>12</v>
      </c>
    </row>
    <row r="29" spans="1:38" s="4" customFormat="1" ht="12" customHeight="1">
      <c r="A29" s="4" t="str">
        <f t="shared" si="51"/>
        <v>HARRINGTONCOMMERCIALRL001.5Y1W001</v>
      </c>
      <c r="B29" s="5" t="s">
        <v>69</v>
      </c>
      <c r="C29" s="5" t="s">
        <v>70</v>
      </c>
      <c r="D29" s="20">
        <v>37.5</v>
      </c>
      <c r="E29" s="20"/>
      <c r="F29" s="21">
        <v>112.5</v>
      </c>
      <c r="G29" s="21">
        <v>112.5</v>
      </c>
      <c r="H29" s="21">
        <v>112.5</v>
      </c>
      <c r="I29" s="21">
        <v>112.5</v>
      </c>
      <c r="J29" s="21">
        <v>112.5</v>
      </c>
      <c r="K29" s="21">
        <v>112.5</v>
      </c>
      <c r="L29" s="23">
        <f t="shared" si="35"/>
        <v>675</v>
      </c>
      <c r="M29" s="20"/>
      <c r="N29" s="21">
        <v>112.5</v>
      </c>
      <c r="O29" s="21">
        <v>112.5</v>
      </c>
      <c r="P29" s="21">
        <v>112.5</v>
      </c>
      <c r="Q29" s="21">
        <v>112.5</v>
      </c>
      <c r="R29" s="21">
        <v>112.5</v>
      </c>
      <c r="S29" s="21">
        <v>112.5</v>
      </c>
      <c r="T29" s="23">
        <f t="shared" si="36"/>
        <v>675</v>
      </c>
      <c r="U29" s="23"/>
      <c r="V29" s="23">
        <f t="shared" si="37"/>
        <v>1350</v>
      </c>
      <c r="X29" s="22">
        <f t="shared" si="38"/>
        <v>3</v>
      </c>
      <c r="Y29" s="22">
        <f t="shared" si="39"/>
        <v>3</v>
      </c>
      <c r="Z29" s="22">
        <f t="shared" si="40"/>
        <v>3</v>
      </c>
      <c r="AA29" s="22">
        <f t="shared" si="41"/>
        <v>3</v>
      </c>
      <c r="AB29" s="22">
        <f t="shared" si="42"/>
        <v>3</v>
      </c>
      <c r="AC29" s="22">
        <f t="shared" si="43"/>
        <v>3</v>
      </c>
      <c r="AD29" s="22">
        <f t="shared" si="52"/>
        <v>3</v>
      </c>
      <c r="AE29" s="22">
        <f t="shared" si="53"/>
        <v>3</v>
      </c>
      <c r="AF29" s="22">
        <f t="shared" si="54"/>
        <v>3</v>
      </c>
      <c r="AG29" s="22">
        <f t="shared" si="55"/>
        <v>3</v>
      </c>
      <c r="AH29" s="22">
        <f t="shared" si="56"/>
        <v>3</v>
      </c>
      <c r="AI29" s="22">
        <f t="shared" si="57"/>
        <v>3</v>
      </c>
      <c r="AJ29" s="91">
        <f t="shared" si="58"/>
        <v>3</v>
      </c>
      <c r="AK29" s="89">
        <f>+AJ29</f>
        <v>3</v>
      </c>
      <c r="AL29" s="89">
        <f t="shared" si="50"/>
        <v>36</v>
      </c>
    </row>
    <row r="30" spans="1:38" s="4" customFormat="1" ht="12" customHeight="1">
      <c r="A30" s="4" t="str">
        <f t="shared" si="51"/>
        <v>HARRINGTONCOMMERCIALRL002.0Y1W001</v>
      </c>
      <c r="B30" s="5" t="s">
        <v>73</v>
      </c>
      <c r="C30" s="5" t="s">
        <v>74</v>
      </c>
      <c r="D30" s="20">
        <v>50</v>
      </c>
      <c r="E30" s="20"/>
      <c r="F30" s="21">
        <v>312.5</v>
      </c>
      <c r="G30" s="21">
        <v>300</v>
      </c>
      <c r="H30" s="21">
        <v>325</v>
      </c>
      <c r="I30" s="21">
        <v>300</v>
      </c>
      <c r="J30" s="21">
        <v>300</v>
      </c>
      <c r="K30" s="21">
        <v>300</v>
      </c>
      <c r="L30" s="23">
        <f t="shared" si="35"/>
        <v>1837.5</v>
      </c>
      <c r="M30" s="20"/>
      <c r="N30" s="21">
        <v>300</v>
      </c>
      <c r="O30" s="21">
        <v>300</v>
      </c>
      <c r="P30" s="21">
        <v>300</v>
      </c>
      <c r="Q30" s="21">
        <v>300</v>
      </c>
      <c r="R30" s="21">
        <v>325</v>
      </c>
      <c r="S30" s="21">
        <v>350</v>
      </c>
      <c r="T30" s="23">
        <f t="shared" si="36"/>
        <v>1875</v>
      </c>
      <c r="U30" s="23"/>
      <c r="V30" s="23">
        <f t="shared" si="37"/>
        <v>3712.5</v>
      </c>
      <c r="X30" s="22">
        <f t="shared" si="38"/>
        <v>6</v>
      </c>
      <c r="Y30" s="22">
        <f t="shared" si="39"/>
        <v>6</v>
      </c>
      <c r="Z30" s="22">
        <f t="shared" si="40"/>
        <v>6</v>
      </c>
      <c r="AA30" s="22">
        <f t="shared" si="41"/>
        <v>6</v>
      </c>
      <c r="AB30" s="22">
        <f t="shared" si="42"/>
        <v>6.5</v>
      </c>
      <c r="AC30" s="22">
        <f t="shared" si="43"/>
        <v>7</v>
      </c>
      <c r="AD30" s="22">
        <f t="shared" si="52"/>
        <v>6</v>
      </c>
      <c r="AE30" s="22">
        <f t="shared" si="53"/>
        <v>6</v>
      </c>
      <c r="AF30" s="22">
        <f t="shared" si="54"/>
        <v>6</v>
      </c>
      <c r="AG30" s="22">
        <f t="shared" si="55"/>
        <v>6</v>
      </c>
      <c r="AH30" s="22">
        <f t="shared" si="56"/>
        <v>6.5</v>
      </c>
      <c r="AI30" s="22">
        <f t="shared" si="57"/>
        <v>7</v>
      </c>
      <c r="AJ30" s="91">
        <f t="shared" si="58"/>
        <v>6.25</v>
      </c>
      <c r="AK30" s="89">
        <f>+AJ30</f>
        <v>6.25</v>
      </c>
      <c r="AL30" s="89">
        <f t="shared" si="50"/>
        <v>75</v>
      </c>
    </row>
    <row r="31" spans="1:38" s="4" customFormat="1" ht="12" customHeight="1">
      <c r="A31" s="4" t="str">
        <f t="shared" si="51"/>
        <v>HARRINGTONCOMMERCIALRL003.0Y1W001</v>
      </c>
      <c r="B31" s="5" t="s">
        <v>75</v>
      </c>
      <c r="C31" s="5" t="s">
        <v>76</v>
      </c>
      <c r="D31" s="20">
        <v>75</v>
      </c>
      <c r="E31" s="20"/>
      <c r="F31" s="21">
        <v>150</v>
      </c>
      <c r="G31" s="21">
        <v>150</v>
      </c>
      <c r="H31" s="21">
        <v>150</v>
      </c>
      <c r="I31" s="21">
        <v>18.75</v>
      </c>
      <c r="J31" s="21">
        <v>18.75</v>
      </c>
      <c r="K31" s="21">
        <v>37.5</v>
      </c>
      <c r="L31" s="23">
        <f t="shared" si="35"/>
        <v>525</v>
      </c>
      <c r="M31" s="20"/>
      <c r="N31" s="21">
        <v>0</v>
      </c>
      <c r="O31" s="21">
        <v>37.5</v>
      </c>
      <c r="P31" s="21">
        <v>37.5</v>
      </c>
      <c r="Q31" s="21">
        <v>75</v>
      </c>
      <c r="R31" s="21">
        <v>131.25</v>
      </c>
      <c r="S31" s="21">
        <v>93.75</v>
      </c>
      <c r="T31" s="23">
        <f t="shared" si="36"/>
        <v>375</v>
      </c>
      <c r="U31" s="23"/>
      <c r="V31" s="23">
        <f t="shared" si="37"/>
        <v>900</v>
      </c>
      <c r="X31" s="22">
        <f t="shared" si="38"/>
        <v>0</v>
      </c>
      <c r="Y31" s="22">
        <f t="shared" si="39"/>
        <v>0.5</v>
      </c>
      <c r="Z31" s="22">
        <f t="shared" si="40"/>
        <v>0.5</v>
      </c>
      <c r="AA31" s="22">
        <f t="shared" si="41"/>
        <v>1</v>
      </c>
      <c r="AB31" s="22">
        <f t="shared" si="42"/>
        <v>1.75</v>
      </c>
      <c r="AC31" s="22">
        <f t="shared" si="43"/>
        <v>1.25</v>
      </c>
      <c r="AD31" s="22">
        <f t="shared" si="52"/>
        <v>0</v>
      </c>
      <c r="AE31" s="22">
        <f t="shared" si="53"/>
        <v>0.5</v>
      </c>
      <c r="AF31" s="22">
        <f t="shared" si="54"/>
        <v>0.5</v>
      </c>
      <c r="AG31" s="22">
        <f t="shared" si="55"/>
        <v>1</v>
      </c>
      <c r="AH31" s="22">
        <f t="shared" si="56"/>
        <v>1.75</v>
      </c>
      <c r="AI31" s="22">
        <f t="shared" si="57"/>
        <v>1.25</v>
      </c>
      <c r="AJ31" s="91">
        <f t="shared" si="58"/>
        <v>0.83333333333333337</v>
      </c>
      <c r="AK31" s="89">
        <f>+AJ31</f>
        <v>0.83333333333333337</v>
      </c>
      <c r="AL31" s="89">
        <f t="shared" si="50"/>
        <v>10</v>
      </c>
    </row>
    <row r="32" spans="1:38" s="4" customFormat="1" ht="12" customHeight="1">
      <c r="A32" s="4" t="str">
        <f t="shared" si="51"/>
        <v>HARRINGTONCOMMERCIALRL006.0Y1W001</v>
      </c>
      <c r="B32" s="5" t="s">
        <v>83</v>
      </c>
      <c r="C32" s="5" t="s">
        <v>84</v>
      </c>
      <c r="D32" s="20">
        <v>150</v>
      </c>
      <c r="E32" s="20"/>
      <c r="F32" s="21">
        <v>150</v>
      </c>
      <c r="G32" s="21">
        <v>150</v>
      </c>
      <c r="H32" s="21">
        <v>150</v>
      </c>
      <c r="I32" s="21">
        <v>150</v>
      </c>
      <c r="J32" s="21">
        <v>150</v>
      </c>
      <c r="K32" s="21">
        <v>150</v>
      </c>
      <c r="L32" s="23">
        <f t="shared" si="35"/>
        <v>900</v>
      </c>
      <c r="M32" s="20"/>
      <c r="N32" s="21">
        <v>150</v>
      </c>
      <c r="O32" s="21">
        <v>150</v>
      </c>
      <c r="P32" s="21">
        <v>150</v>
      </c>
      <c r="Q32" s="21">
        <v>150</v>
      </c>
      <c r="R32" s="21">
        <v>150</v>
      </c>
      <c r="S32" s="21">
        <v>150</v>
      </c>
      <c r="T32" s="23">
        <f t="shared" si="36"/>
        <v>900</v>
      </c>
      <c r="U32" s="23"/>
      <c r="V32" s="23">
        <f t="shared" si="37"/>
        <v>1800</v>
      </c>
      <c r="X32" s="22">
        <f t="shared" si="38"/>
        <v>1</v>
      </c>
      <c r="Y32" s="22">
        <f t="shared" si="39"/>
        <v>1</v>
      </c>
      <c r="Z32" s="22">
        <f t="shared" si="40"/>
        <v>1</v>
      </c>
      <c r="AA32" s="22">
        <f t="shared" si="41"/>
        <v>1</v>
      </c>
      <c r="AB32" s="22">
        <f t="shared" si="42"/>
        <v>1</v>
      </c>
      <c r="AC32" s="22">
        <f t="shared" si="43"/>
        <v>1</v>
      </c>
      <c r="AD32" s="22">
        <f t="shared" si="52"/>
        <v>1</v>
      </c>
      <c r="AE32" s="22">
        <f t="shared" si="53"/>
        <v>1</v>
      </c>
      <c r="AF32" s="22">
        <f t="shared" si="54"/>
        <v>1</v>
      </c>
      <c r="AG32" s="22">
        <f t="shared" si="55"/>
        <v>1</v>
      </c>
      <c r="AH32" s="22">
        <f t="shared" si="56"/>
        <v>1</v>
      </c>
      <c r="AI32" s="22">
        <f t="shared" si="57"/>
        <v>1</v>
      </c>
      <c r="AJ32" s="91">
        <f t="shared" si="58"/>
        <v>1</v>
      </c>
      <c r="AK32" s="89">
        <f>+AJ32</f>
        <v>1</v>
      </c>
      <c r="AL32" s="89">
        <f t="shared" si="50"/>
        <v>12</v>
      </c>
    </row>
    <row r="33" spans="1:38" s="4" customFormat="1" ht="12" customHeight="1">
      <c r="A33" s="4" t="str">
        <f t="shared" si="51"/>
        <v>HARRINGTONCOMMERCIALRL090.0G1W001COMM</v>
      </c>
      <c r="B33" s="5" t="s">
        <v>93</v>
      </c>
      <c r="C33" s="5" t="s">
        <v>94</v>
      </c>
      <c r="D33" s="20">
        <v>10</v>
      </c>
      <c r="E33" s="20"/>
      <c r="F33" s="21">
        <v>130</v>
      </c>
      <c r="G33" s="21">
        <v>130</v>
      </c>
      <c r="H33" s="21">
        <v>130</v>
      </c>
      <c r="I33" s="21">
        <v>130</v>
      </c>
      <c r="J33" s="21">
        <v>130</v>
      </c>
      <c r="K33" s="21">
        <v>130</v>
      </c>
      <c r="L33" s="23">
        <f t="shared" si="35"/>
        <v>780</v>
      </c>
      <c r="M33" s="20"/>
      <c r="N33" s="21">
        <v>130</v>
      </c>
      <c r="O33" s="21">
        <v>130</v>
      </c>
      <c r="P33" s="21">
        <v>140</v>
      </c>
      <c r="Q33" s="21">
        <v>140</v>
      </c>
      <c r="R33" s="21">
        <v>140</v>
      </c>
      <c r="S33" s="21">
        <v>140</v>
      </c>
      <c r="T33" s="23">
        <f t="shared" si="36"/>
        <v>820</v>
      </c>
      <c r="U33" s="23"/>
      <c r="V33" s="23">
        <f t="shared" si="37"/>
        <v>1600</v>
      </c>
      <c r="X33" s="22">
        <f t="shared" si="38"/>
        <v>13</v>
      </c>
      <c r="Y33" s="22">
        <f t="shared" si="39"/>
        <v>13</v>
      </c>
      <c r="Z33" s="22">
        <f t="shared" si="40"/>
        <v>14</v>
      </c>
      <c r="AA33" s="22">
        <f t="shared" si="41"/>
        <v>14</v>
      </c>
      <c r="AB33" s="22">
        <f t="shared" si="42"/>
        <v>14</v>
      </c>
      <c r="AC33" s="22">
        <f t="shared" si="43"/>
        <v>14</v>
      </c>
      <c r="AD33" s="22">
        <f t="shared" si="52"/>
        <v>13</v>
      </c>
      <c r="AE33" s="22">
        <f t="shared" si="53"/>
        <v>13</v>
      </c>
      <c r="AF33" s="22">
        <f t="shared" si="54"/>
        <v>14</v>
      </c>
      <c r="AG33" s="22">
        <f t="shared" si="55"/>
        <v>14</v>
      </c>
      <c r="AH33" s="22">
        <f t="shared" si="56"/>
        <v>14</v>
      </c>
      <c r="AI33" s="22">
        <f t="shared" si="57"/>
        <v>14</v>
      </c>
      <c r="AJ33" s="91">
        <f t="shared" si="58"/>
        <v>13.666666666666666</v>
      </c>
      <c r="AK33" s="89">
        <f>+AJ33</f>
        <v>13.666666666666666</v>
      </c>
      <c r="AL33" s="89">
        <f t="shared" si="50"/>
        <v>164</v>
      </c>
    </row>
    <row r="34" spans="1:38" s="4" customFormat="1" ht="10.5" customHeight="1">
      <c r="A34" s="4" t="str">
        <f t="shared" si="51"/>
        <v>HARRINGTONCOMMERCIALEXTRA-COMM</v>
      </c>
      <c r="B34" s="5" t="s">
        <v>111</v>
      </c>
      <c r="C34" s="5" t="s">
        <v>112</v>
      </c>
      <c r="D34" s="20">
        <v>1.8</v>
      </c>
      <c r="E34" s="20"/>
      <c r="F34" s="21">
        <v>14.4</v>
      </c>
      <c r="G34" s="21">
        <v>18</v>
      </c>
      <c r="H34" s="21">
        <v>16.2</v>
      </c>
      <c r="I34" s="21">
        <v>19.8</v>
      </c>
      <c r="J34" s="21">
        <v>12.6</v>
      </c>
      <c r="K34" s="21">
        <v>1.8</v>
      </c>
      <c r="L34" s="23">
        <f t="shared" si="35"/>
        <v>82.799999999999983</v>
      </c>
      <c r="M34" s="20"/>
      <c r="N34" s="21">
        <v>0</v>
      </c>
      <c r="O34" s="21">
        <v>0</v>
      </c>
      <c r="P34" s="21">
        <v>18</v>
      </c>
      <c r="Q34" s="21">
        <v>9</v>
      </c>
      <c r="R34" s="21">
        <v>19.8</v>
      </c>
      <c r="S34" s="21">
        <v>27</v>
      </c>
      <c r="T34" s="23">
        <f t="shared" si="36"/>
        <v>73.8</v>
      </c>
      <c r="U34" s="23"/>
      <c r="V34" s="23">
        <f t="shared" si="37"/>
        <v>156.59999999999997</v>
      </c>
      <c r="X34" s="22">
        <f t="shared" ref="X34:X35" si="59">IFERROR(N34/$D34,0)</f>
        <v>0</v>
      </c>
      <c r="Y34" s="22">
        <f t="shared" ref="Y34:Y35" si="60">IFERROR(O34/$D34,0)</f>
        <v>0</v>
      </c>
      <c r="Z34" s="22">
        <f t="shared" ref="Z34:Z35" si="61">IFERROR(P34/$D34,0)</f>
        <v>10</v>
      </c>
      <c r="AA34" s="22">
        <f t="shared" ref="AA34:AA35" si="62">IFERROR(Q34/$D34,0)</f>
        <v>5</v>
      </c>
      <c r="AB34" s="22">
        <f t="shared" ref="AB34:AB35" si="63">IFERROR(R34/$D34,0)</f>
        <v>11</v>
      </c>
      <c r="AC34" s="22">
        <f t="shared" ref="AC34:AC35" si="64">IFERROR(S34/$D34,0)</f>
        <v>15</v>
      </c>
      <c r="AD34" s="22">
        <f t="shared" ref="AD34:AD35" si="65">IFERROR(N34/$D34,0)</f>
        <v>0</v>
      </c>
      <c r="AE34" s="22">
        <f t="shared" ref="AE34:AE35" si="66">IFERROR(O34/$D34,0)</f>
        <v>0</v>
      </c>
      <c r="AF34" s="22">
        <f t="shared" ref="AF34:AF35" si="67">IFERROR(P34/$D34,0)</f>
        <v>10</v>
      </c>
      <c r="AG34" s="22">
        <f t="shared" ref="AG34:AG35" si="68">IFERROR(Q34/$D34,0)</f>
        <v>5</v>
      </c>
      <c r="AH34" s="22">
        <f t="shared" ref="AH34:AH35" si="69">IFERROR(R34/$D34,0)</f>
        <v>11</v>
      </c>
      <c r="AI34" s="22">
        <f t="shared" ref="AI34:AI35" si="70">IFERROR(S34/$D34,0)</f>
        <v>15</v>
      </c>
      <c r="AJ34" s="91">
        <f t="shared" ref="AJ34:AJ35" si="71">SUM(X34:AI34)/12</f>
        <v>6.833333333333333</v>
      </c>
      <c r="AL34" s="89">
        <f t="shared" si="50"/>
        <v>82</v>
      </c>
    </row>
    <row r="35" spans="1:38" s="4" customFormat="1" ht="12" customHeight="1">
      <c r="A35" s="4" t="str">
        <f t="shared" si="51"/>
        <v>HARRINGTONCOMMERCIALEXTRAYDG-COMM</v>
      </c>
      <c r="B35" s="5" t="s">
        <v>113</v>
      </c>
      <c r="C35" s="5" t="s">
        <v>114</v>
      </c>
      <c r="D35" s="20">
        <v>9.5</v>
      </c>
      <c r="E35" s="20"/>
      <c r="F35" s="21">
        <v>9.5</v>
      </c>
      <c r="G35" s="21">
        <v>19</v>
      </c>
      <c r="H35" s="21">
        <v>38</v>
      </c>
      <c r="I35" s="21">
        <v>76</v>
      </c>
      <c r="J35" s="21">
        <v>0</v>
      </c>
      <c r="K35" s="21">
        <v>0</v>
      </c>
      <c r="L35" s="23">
        <f t="shared" si="35"/>
        <v>142.5</v>
      </c>
      <c r="M35" s="20"/>
      <c r="N35" s="21">
        <v>0</v>
      </c>
      <c r="O35" s="21">
        <v>0</v>
      </c>
      <c r="P35" s="21">
        <v>38</v>
      </c>
      <c r="Q35" s="21">
        <v>171</v>
      </c>
      <c r="R35" s="21">
        <v>38</v>
      </c>
      <c r="S35" s="21">
        <v>47.5</v>
      </c>
      <c r="T35" s="23">
        <f t="shared" si="36"/>
        <v>294.5</v>
      </c>
      <c r="U35" s="23"/>
      <c r="V35" s="23">
        <f t="shared" si="37"/>
        <v>437</v>
      </c>
      <c r="X35" s="22">
        <f t="shared" si="59"/>
        <v>0</v>
      </c>
      <c r="Y35" s="22">
        <f t="shared" si="60"/>
        <v>0</v>
      </c>
      <c r="Z35" s="22">
        <f t="shared" si="61"/>
        <v>4</v>
      </c>
      <c r="AA35" s="22">
        <f t="shared" si="62"/>
        <v>18</v>
      </c>
      <c r="AB35" s="22">
        <f t="shared" si="63"/>
        <v>4</v>
      </c>
      <c r="AC35" s="22">
        <f t="shared" si="64"/>
        <v>5</v>
      </c>
      <c r="AD35" s="22">
        <f t="shared" si="65"/>
        <v>0</v>
      </c>
      <c r="AE35" s="22">
        <f t="shared" si="66"/>
        <v>0</v>
      </c>
      <c r="AF35" s="22">
        <f t="shared" si="67"/>
        <v>4</v>
      </c>
      <c r="AG35" s="22">
        <f t="shared" si="68"/>
        <v>18</v>
      </c>
      <c r="AH35" s="22">
        <f t="shared" si="69"/>
        <v>4</v>
      </c>
      <c r="AI35" s="22">
        <f t="shared" si="70"/>
        <v>5</v>
      </c>
      <c r="AJ35" s="91">
        <f t="shared" si="71"/>
        <v>5.166666666666667</v>
      </c>
      <c r="AL35" s="89">
        <f t="shared" si="50"/>
        <v>62</v>
      </c>
    </row>
    <row r="36" spans="1:38" s="2" customFormat="1" ht="12" customHeight="1">
      <c r="A36" s="4" t="str">
        <f t="shared" si="51"/>
        <v>HARRINGTONCOMMERCIALFUEL-COMM</v>
      </c>
      <c r="B36" s="5" t="s">
        <v>245</v>
      </c>
      <c r="C36" s="5" t="s">
        <v>246</v>
      </c>
      <c r="D36" s="20"/>
      <c r="E36" s="20"/>
      <c r="F36" s="21">
        <v>101.95000000000005</v>
      </c>
      <c r="G36" s="21">
        <v>1092.5</v>
      </c>
      <c r="H36" s="21">
        <v>1083.56</v>
      </c>
      <c r="I36" s="21">
        <v>1062.01</v>
      </c>
      <c r="J36" s="21">
        <v>1039.5999999999999</v>
      </c>
      <c r="K36" s="21">
        <v>1033.8499999999999</v>
      </c>
      <c r="L36" s="23">
        <f t="shared" si="35"/>
        <v>5413.4700000000012</v>
      </c>
      <c r="M36" s="20"/>
      <c r="N36" s="21">
        <v>1019</v>
      </c>
      <c r="O36" s="21">
        <v>1008.1</v>
      </c>
      <c r="P36" s="21">
        <v>1012</v>
      </c>
      <c r="Q36" s="21">
        <v>1026.0999999999999</v>
      </c>
      <c r="R36" s="21">
        <v>1058.5500000000002</v>
      </c>
      <c r="S36" s="21">
        <v>1075.0500000000002</v>
      </c>
      <c r="T36" s="23">
        <f t="shared" si="36"/>
        <v>6198.8</v>
      </c>
      <c r="U36" s="23"/>
      <c r="V36" s="23">
        <f t="shared" si="37"/>
        <v>11612.27</v>
      </c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</row>
    <row r="37" spans="1:38" s="2" customFormat="1" ht="12" customHeight="1">
      <c r="A37" s="4" t="str">
        <f t="shared" si="51"/>
        <v>HARRINGTONCOMMERCIALDISP-COMM</v>
      </c>
      <c r="B37" s="5" t="s">
        <v>277</v>
      </c>
      <c r="C37" s="5" t="s">
        <v>278</v>
      </c>
      <c r="D37" s="20"/>
      <c r="E37" s="20"/>
      <c r="F37" s="21">
        <v>-2614.9</v>
      </c>
      <c r="G37" s="21">
        <v>-2576.36</v>
      </c>
      <c r="H37" s="21">
        <v>-2733.5</v>
      </c>
      <c r="I37" s="21">
        <v>-2699.08</v>
      </c>
      <c r="J37" s="21">
        <v>-2239.7200000000003</v>
      </c>
      <c r="K37" s="21">
        <v>-2213.62</v>
      </c>
      <c r="L37" s="23">
        <f t="shared" si="35"/>
        <v>-15077.18</v>
      </c>
      <c r="M37" s="20"/>
      <c r="N37" s="21">
        <v>-2170.94</v>
      </c>
      <c r="O37" s="21">
        <v>-2100.1799999999998</v>
      </c>
      <c r="P37" s="21">
        <v>-2429.04</v>
      </c>
      <c r="Q37" s="21">
        <v>-2705.7</v>
      </c>
      <c r="R37" s="21">
        <v>-3019.48</v>
      </c>
      <c r="S37" s="21">
        <v>-3390.6800000000003</v>
      </c>
      <c r="T37" s="23">
        <f t="shared" si="36"/>
        <v>-15816.02</v>
      </c>
      <c r="U37" s="23"/>
      <c r="V37" s="23">
        <f t="shared" si="37"/>
        <v>-30893.200000000001</v>
      </c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</row>
    <row r="38" spans="1:38" s="4" customFormat="1" ht="12" customHeight="1" thickBot="1">
      <c r="B38" s="36"/>
      <c r="C38" s="36"/>
      <c r="D38" s="20"/>
      <c r="E38" s="20"/>
      <c r="F38" s="22"/>
      <c r="G38" s="22"/>
      <c r="H38" s="22"/>
      <c r="I38" s="22"/>
      <c r="J38" s="22"/>
      <c r="K38" s="22"/>
      <c r="L38" s="23"/>
      <c r="M38" s="20"/>
      <c r="N38" s="22"/>
      <c r="O38" s="22"/>
      <c r="P38" s="22"/>
      <c r="Q38" s="22"/>
      <c r="R38" s="22"/>
      <c r="S38" s="22"/>
      <c r="T38" s="23"/>
      <c r="U38" s="23"/>
      <c r="V38" s="23"/>
      <c r="AJ38" s="5"/>
    </row>
    <row r="39" spans="1:38" s="4" customFormat="1" ht="12" customHeight="1" thickBot="1">
      <c r="B39" s="36"/>
      <c r="C39" s="37" t="s">
        <v>13</v>
      </c>
      <c r="D39" s="20"/>
      <c r="E39" s="20"/>
      <c r="F39" s="27">
        <f t="shared" ref="F39:L39" si="72">SUM(F27:F38)</f>
        <v>-1384.05</v>
      </c>
      <c r="G39" s="27">
        <f t="shared" si="72"/>
        <v>-354.36000000000013</v>
      </c>
      <c r="H39" s="27">
        <f t="shared" si="72"/>
        <v>-478.23999999999978</v>
      </c>
      <c r="I39" s="27">
        <f t="shared" si="72"/>
        <v>-580.02</v>
      </c>
      <c r="J39" s="27">
        <f t="shared" si="72"/>
        <v>-226.27000000000044</v>
      </c>
      <c r="K39" s="27">
        <f t="shared" si="72"/>
        <v>-197.97000000000003</v>
      </c>
      <c r="L39" s="27">
        <f t="shared" si="72"/>
        <v>-3220.91</v>
      </c>
      <c r="M39" s="20"/>
      <c r="N39" s="27">
        <f t="shared" ref="N39:T39" si="73">SUM(N27:N38)</f>
        <v>-209.44000000000005</v>
      </c>
      <c r="O39" s="27">
        <f t="shared" si="73"/>
        <v>-130.82999999999993</v>
      </c>
      <c r="P39" s="27">
        <f t="shared" si="73"/>
        <v>-396.03999999999996</v>
      </c>
      <c r="Q39" s="27">
        <f t="shared" si="73"/>
        <v>-497.09999999999991</v>
      </c>
      <c r="R39" s="27">
        <f t="shared" si="73"/>
        <v>-819.37999999999965</v>
      </c>
      <c r="S39" s="27">
        <f t="shared" si="73"/>
        <v>-1169.8800000000001</v>
      </c>
      <c r="T39" s="27">
        <f t="shared" si="73"/>
        <v>-3222.67</v>
      </c>
      <c r="U39" s="43"/>
      <c r="V39" s="27">
        <f>SUM(V27:V38)</f>
        <v>-6443.5799999999981</v>
      </c>
      <c r="AJ39" s="84">
        <f>SUM(AJ27:AJ33)</f>
        <v>32.958333333333329</v>
      </c>
    </row>
    <row r="40" spans="1:38" ht="12" customHeight="1">
      <c r="B40" s="2"/>
      <c r="C40" s="2"/>
    </row>
    <row r="41" spans="1:38" ht="12" customHeight="1">
      <c r="B41" s="25"/>
      <c r="C41" s="40"/>
    </row>
    <row r="42" spans="1:38" ht="12" customHeight="1">
      <c r="B42" s="6"/>
      <c r="C42" s="37" t="s">
        <v>27</v>
      </c>
      <c r="F42" s="27">
        <f>SUM(F22,F39)</f>
        <v>271.75</v>
      </c>
      <c r="G42" s="27">
        <f t="shared" ref="G42:K42" si="74">SUM(G22,G39)</f>
        <v>1287.2399999999998</v>
      </c>
      <c r="H42" s="27">
        <f t="shared" si="74"/>
        <v>1172.7600000000002</v>
      </c>
      <c r="I42" s="27">
        <f t="shared" si="74"/>
        <v>1101.29</v>
      </c>
      <c r="J42" s="27">
        <f t="shared" si="74"/>
        <v>1445.8299999999995</v>
      </c>
      <c r="K42" s="27">
        <f t="shared" si="74"/>
        <v>1419.6299999999999</v>
      </c>
      <c r="L42" s="27">
        <f>SUM(L22,L39)</f>
        <v>6698.5</v>
      </c>
      <c r="N42" s="27">
        <f t="shared" ref="N42:T42" si="75">SUM(N22,N39)</f>
        <v>1365.56</v>
      </c>
      <c r="O42" s="27">
        <f t="shared" si="75"/>
        <v>1449.22</v>
      </c>
      <c r="P42" s="27">
        <f t="shared" si="75"/>
        <v>1186.46</v>
      </c>
      <c r="Q42" s="27">
        <f t="shared" si="75"/>
        <v>1151.8000000000002</v>
      </c>
      <c r="R42" s="27">
        <f>SUM(R22,R39)</f>
        <v>794.03000000000043</v>
      </c>
      <c r="S42" s="27">
        <f t="shared" si="75"/>
        <v>471.66999999999985</v>
      </c>
      <c r="T42" s="27">
        <f t="shared" si="75"/>
        <v>6418.74</v>
      </c>
      <c r="U42" s="43"/>
      <c r="V42" s="27">
        <f>SUM(V22,V39)</f>
        <v>13117.240000000005</v>
      </c>
    </row>
    <row r="43" spans="1:38">
      <c r="F43" s="5">
        <v>271.74999999999977</v>
      </c>
      <c r="G43" s="5">
        <v>1287.2399999999998</v>
      </c>
      <c r="H43" s="5">
        <v>1172.7599999999998</v>
      </c>
      <c r="I43" s="5">
        <v>1101.2900000000002</v>
      </c>
      <c r="J43" s="5">
        <v>1445.8299999999995</v>
      </c>
      <c r="K43" s="5">
        <v>1419.63</v>
      </c>
      <c r="N43" s="5">
        <v>1365.56</v>
      </c>
      <c r="O43" s="5">
        <v>1449.22</v>
      </c>
      <c r="P43" s="5">
        <v>1186.46</v>
      </c>
      <c r="Q43" s="5">
        <v>1151.8000000000002</v>
      </c>
      <c r="R43" s="5">
        <v>794.03000000000031</v>
      </c>
      <c r="S43" s="5">
        <v>471.66999999999985</v>
      </c>
      <c r="W43" s="5" t="s">
        <v>518</v>
      </c>
    </row>
  </sheetData>
  <pageMargins left="0.7" right="0.7" top="0.75" bottom="0.75" header="0.3" footer="0.3"/>
  <pageSetup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  <pageSetUpPr fitToPage="1"/>
  </sheetPr>
  <dimension ref="A1:AO21"/>
  <sheetViews>
    <sheetView workbookViewId="0">
      <pane xSplit="3" ySplit="6" topLeftCell="D7" activePane="bottomRight" state="frozen"/>
      <selection activeCell="AF25" sqref="AF24:AF25"/>
      <selection pane="topRight" activeCell="AF25" sqref="AF24:AF25"/>
      <selection pane="bottomLeft" activeCell="AF25" sqref="AF24:AF25"/>
      <selection pane="bottomRight" activeCell="F27" sqref="F27"/>
    </sheetView>
  </sheetViews>
  <sheetFormatPr defaultRowHeight="12.75" outlineLevelCol="1"/>
  <cols>
    <col min="1" max="1" width="38.85546875" style="5" customWidth="1"/>
    <col min="2" max="2" width="22.7109375" style="16" customWidth="1"/>
    <col min="3" max="3" width="29.140625" style="16" bestFit="1" customWidth="1"/>
    <col min="4" max="4" width="10.28515625" style="5" customWidth="1"/>
    <col min="5" max="5" width="0.5703125" style="5" customWidth="1"/>
    <col min="6" max="11" width="10" style="5" hidden="1" customWidth="1" outlineLevel="1"/>
    <col min="12" max="12" width="11" style="5" bestFit="1" customWidth="1" collapsed="1"/>
    <col min="13" max="13" width="2" style="5" customWidth="1"/>
    <col min="14" max="19" width="10" style="5" hidden="1" customWidth="1" outlineLevel="1"/>
    <col min="20" max="20" width="11" style="5" bestFit="1" customWidth="1" collapsed="1"/>
    <col min="21" max="21" width="3.140625" style="5" customWidth="1"/>
    <col min="22" max="22" width="11" style="5" customWidth="1"/>
    <col min="23" max="23" width="9.140625" style="5"/>
    <col min="24" max="35" width="9.42578125" style="5" hidden="1" customWidth="1" outlineLevel="1"/>
    <col min="36" max="36" width="4.85546875" style="5" customWidth="1" collapsed="1"/>
    <col min="37" max="37" width="5.7109375" style="5" bestFit="1" customWidth="1"/>
    <col min="38" max="38" width="7.5703125" style="5" bestFit="1" customWidth="1"/>
    <col min="39" max="16384" width="9.140625" style="5"/>
  </cols>
  <sheetData>
    <row r="1" spans="1:41" ht="12" customHeight="1">
      <c r="B1" s="1" t="s">
        <v>28</v>
      </c>
      <c r="C1" s="2"/>
      <c r="D1" s="3"/>
      <c r="E1" s="3"/>
      <c r="F1" s="4"/>
      <c r="G1" s="4"/>
      <c r="H1" s="4"/>
      <c r="I1" s="4"/>
      <c r="J1" s="4"/>
      <c r="K1" s="4"/>
      <c r="L1" s="4"/>
      <c r="M1" s="2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41" ht="12" customHeight="1">
      <c r="B2" s="1" t="s">
        <v>249</v>
      </c>
      <c r="C2" s="2"/>
      <c r="D2" s="100" t="s">
        <v>494</v>
      </c>
      <c r="E2" s="100"/>
      <c r="G2" s="4"/>
      <c r="H2" s="4"/>
      <c r="I2" s="4"/>
      <c r="J2" s="4"/>
      <c r="K2" s="4"/>
      <c r="L2" s="4"/>
      <c r="M2" s="2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41" ht="12" customHeight="1">
      <c r="B3" s="6" t="str">
        <f>'Harrington Non-Reg - Price Out'!B3</f>
        <v>July 1, 2015 - June 30, 2016</v>
      </c>
      <c r="C3" s="2"/>
      <c r="D3" s="3"/>
      <c r="E3" s="3"/>
      <c r="F3" s="7"/>
      <c r="G3" s="4"/>
      <c r="H3" s="4"/>
      <c r="I3" s="4"/>
      <c r="J3" s="4"/>
      <c r="K3" s="4"/>
      <c r="L3" s="4"/>
      <c r="M3" s="2"/>
      <c r="N3" s="7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41" ht="12" customHeight="1">
      <c r="B4" s="2"/>
      <c r="C4" s="8"/>
      <c r="D4" s="9" t="s">
        <v>558</v>
      </c>
      <c r="E4" s="13"/>
      <c r="F4" s="103">
        <v>42186</v>
      </c>
      <c r="G4" s="103">
        <v>42217</v>
      </c>
      <c r="H4" s="103">
        <v>42248</v>
      </c>
      <c r="I4" s="103">
        <v>42278</v>
      </c>
      <c r="J4" s="103">
        <v>42309</v>
      </c>
      <c r="K4" s="103">
        <v>42339</v>
      </c>
      <c r="L4" s="104">
        <v>2015</v>
      </c>
      <c r="M4" s="2"/>
      <c r="N4" s="10">
        <v>42370</v>
      </c>
      <c r="O4" s="10">
        <v>42401</v>
      </c>
      <c r="P4" s="10">
        <v>42430</v>
      </c>
      <c r="Q4" s="10">
        <v>42461</v>
      </c>
      <c r="R4" s="10">
        <v>42491</v>
      </c>
      <c r="S4" s="10">
        <v>42522</v>
      </c>
      <c r="T4" s="11">
        <v>2016</v>
      </c>
      <c r="U4" s="8"/>
      <c r="V4" s="11" t="s">
        <v>0</v>
      </c>
      <c r="W4" s="4"/>
      <c r="X4" s="12">
        <v>42186</v>
      </c>
      <c r="Y4" s="12">
        <v>42217</v>
      </c>
      <c r="Z4" s="12">
        <v>42248</v>
      </c>
      <c r="AA4" s="12">
        <v>42278</v>
      </c>
      <c r="AB4" s="12">
        <v>42309</v>
      </c>
      <c r="AC4" s="12">
        <v>42339</v>
      </c>
      <c r="AD4" s="12">
        <v>42370</v>
      </c>
      <c r="AE4" s="12">
        <v>42401</v>
      </c>
      <c r="AF4" s="12">
        <v>42430</v>
      </c>
      <c r="AG4" s="12">
        <v>42461</v>
      </c>
      <c r="AH4" s="12">
        <v>42491</v>
      </c>
      <c r="AI4" s="12">
        <v>42522</v>
      </c>
      <c r="AJ4" s="12" t="s">
        <v>462</v>
      </c>
      <c r="AK4" s="12" t="s">
        <v>490</v>
      </c>
      <c r="AL4" s="92" t="s">
        <v>492</v>
      </c>
    </row>
    <row r="5" spans="1:41" ht="12" customHeight="1">
      <c r="B5" s="13" t="s">
        <v>1</v>
      </c>
      <c r="C5" s="8" t="s">
        <v>2</v>
      </c>
      <c r="D5" s="14" t="s">
        <v>3</v>
      </c>
      <c r="E5" s="102"/>
      <c r="F5" s="104" t="s">
        <v>4</v>
      </c>
      <c r="G5" s="104" t="s">
        <v>4</v>
      </c>
      <c r="H5" s="104" t="s">
        <v>4</v>
      </c>
      <c r="I5" s="104" t="s">
        <v>4</v>
      </c>
      <c r="J5" s="104" t="s">
        <v>4</v>
      </c>
      <c r="K5" s="104" t="s">
        <v>4</v>
      </c>
      <c r="L5" s="104" t="s">
        <v>4</v>
      </c>
      <c r="M5" s="8"/>
      <c r="N5" s="11" t="s">
        <v>4</v>
      </c>
      <c r="O5" s="11" t="s">
        <v>4</v>
      </c>
      <c r="P5" s="11" t="s">
        <v>4</v>
      </c>
      <c r="Q5" s="11" t="s">
        <v>4</v>
      </c>
      <c r="R5" s="11" t="s">
        <v>4</v>
      </c>
      <c r="S5" s="11" t="s">
        <v>4</v>
      </c>
      <c r="T5" s="11" t="s">
        <v>4</v>
      </c>
      <c r="U5" s="8"/>
      <c r="V5" s="11" t="s">
        <v>4</v>
      </c>
      <c r="W5" s="4"/>
      <c r="X5" s="15" t="s">
        <v>5</v>
      </c>
      <c r="Y5" s="15" t="s">
        <v>5</v>
      </c>
      <c r="Z5" s="15" t="s">
        <v>5</v>
      </c>
      <c r="AA5" s="15" t="s">
        <v>5</v>
      </c>
      <c r="AB5" s="15" t="s">
        <v>5</v>
      </c>
      <c r="AC5" s="15" t="s">
        <v>5</v>
      </c>
      <c r="AD5" s="15" t="s">
        <v>5</v>
      </c>
      <c r="AE5" s="15" t="s">
        <v>5</v>
      </c>
      <c r="AF5" s="15" t="s">
        <v>5</v>
      </c>
      <c r="AG5" s="15" t="s">
        <v>5</v>
      </c>
      <c r="AH5" s="15" t="s">
        <v>5</v>
      </c>
      <c r="AI5" s="15" t="s">
        <v>5</v>
      </c>
      <c r="AJ5" s="15" t="s">
        <v>491</v>
      </c>
      <c r="AK5" s="15" t="s">
        <v>489</v>
      </c>
      <c r="AL5" s="93" t="s">
        <v>491</v>
      </c>
    </row>
    <row r="6" spans="1:41" ht="12" customHeight="1"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</row>
    <row r="7" spans="1:41" s="4" customFormat="1" ht="12" customHeight="1">
      <c r="C7" s="2"/>
      <c r="D7" s="3"/>
      <c r="E7" s="3"/>
      <c r="M7" s="2"/>
      <c r="AJ7" s="5"/>
    </row>
    <row r="8" spans="1:41" s="4" customFormat="1" ht="12" customHeight="1">
      <c r="D8" s="3"/>
      <c r="E8" s="3"/>
      <c r="M8" s="17"/>
      <c r="AJ8" s="5"/>
      <c r="AN8" s="4" t="s">
        <v>478</v>
      </c>
      <c r="AO8" s="89">
        <f>SUM(AK12:AK13,)</f>
        <v>45.083333333333336</v>
      </c>
    </row>
    <row r="9" spans="1:41" s="4" customFormat="1" ht="12" customHeight="1">
      <c r="B9" s="18" t="s">
        <v>6</v>
      </c>
      <c r="C9" s="18" t="s">
        <v>6</v>
      </c>
      <c r="D9" s="3"/>
      <c r="E9" s="3"/>
      <c r="M9" s="17"/>
      <c r="AJ9" s="5"/>
      <c r="AN9" s="4" t="s">
        <v>479</v>
      </c>
    </row>
    <row r="10" spans="1:41" s="4" customFormat="1" ht="12" customHeight="1">
      <c r="B10" s="18"/>
      <c r="C10" s="18"/>
      <c r="D10" s="3"/>
      <c r="E10" s="3"/>
      <c r="M10" s="17"/>
      <c r="AJ10" s="5"/>
    </row>
    <row r="11" spans="1:41" s="4" customFormat="1" ht="12" customHeight="1" thickBot="1">
      <c r="B11" s="19" t="s">
        <v>7</v>
      </c>
      <c r="C11" s="19" t="s">
        <v>7</v>
      </c>
      <c r="D11" s="20"/>
      <c r="E11" s="20"/>
      <c r="F11" s="22"/>
      <c r="G11" s="22"/>
      <c r="H11" s="22"/>
      <c r="I11" s="22"/>
      <c r="J11" s="22"/>
      <c r="K11" s="22"/>
      <c r="L11" s="23"/>
      <c r="M11" s="20"/>
      <c r="N11" s="22"/>
      <c r="O11" s="22"/>
      <c r="P11" s="22"/>
      <c r="Q11" s="22"/>
      <c r="R11" s="22"/>
      <c r="S11" s="22"/>
      <c r="T11" s="23"/>
      <c r="U11" s="23"/>
      <c r="V11" s="23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5"/>
    </row>
    <row r="12" spans="1:41" s="4" customFormat="1" ht="12" customHeight="1" thickBot="1">
      <c r="A12" s="4" t="str">
        <f t="shared" ref="A12:A13" si="0">"LATAH COUNTY"&amp;"RESIDENTIAL"&amp;B12</f>
        <v>LATAH COUNTYRESIDENTIALRL032.0G1W001</v>
      </c>
      <c r="B12" s="5" t="s">
        <v>33</v>
      </c>
      <c r="C12" s="5" t="s">
        <v>34</v>
      </c>
      <c r="D12" s="188">
        <v>17.079999999999998</v>
      </c>
      <c r="E12" s="20"/>
      <c r="F12" s="21">
        <v>119.56</v>
      </c>
      <c r="G12" s="21">
        <v>119.56</v>
      </c>
      <c r="H12" s="21">
        <v>136.63999999999999</v>
      </c>
      <c r="I12" s="21">
        <v>136.63999999999999</v>
      </c>
      <c r="J12" s="21">
        <v>136.63999999999999</v>
      </c>
      <c r="K12" s="21">
        <v>136.63999999999999</v>
      </c>
      <c r="L12" s="23">
        <f t="shared" ref="L12:L13" si="1">SUM(F12:K12)</f>
        <v>785.68</v>
      </c>
      <c r="M12" s="20"/>
      <c r="N12" s="21">
        <v>136.63999999999999</v>
      </c>
      <c r="O12" s="21">
        <v>136.63999999999999</v>
      </c>
      <c r="P12" s="21">
        <v>136.63999999999999</v>
      </c>
      <c r="Q12" s="21">
        <v>136.63999999999999</v>
      </c>
      <c r="R12" s="21">
        <v>136.63999999999999</v>
      </c>
      <c r="S12" s="21">
        <v>136.63999999999999</v>
      </c>
      <c r="T12" s="23">
        <f t="shared" ref="T12:T13" si="2">SUM(N12:S12)</f>
        <v>819.83999999999992</v>
      </c>
      <c r="U12" s="23"/>
      <c r="V12" s="23">
        <f t="shared" ref="V12:V13" si="3">L12+T12</f>
        <v>1605.52</v>
      </c>
      <c r="X12" s="22">
        <f>IFERROR(F12/$D12,0)</f>
        <v>7.0000000000000009</v>
      </c>
      <c r="Y12" s="22">
        <f t="shared" ref="Y12:AC13" si="4">IFERROR(G12/$D12,0)</f>
        <v>7.0000000000000009</v>
      </c>
      <c r="Z12" s="22">
        <f t="shared" si="4"/>
        <v>8</v>
      </c>
      <c r="AA12" s="22">
        <f t="shared" si="4"/>
        <v>8</v>
      </c>
      <c r="AB12" s="22">
        <f t="shared" si="4"/>
        <v>8</v>
      </c>
      <c r="AC12" s="22">
        <f t="shared" si="4"/>
        <v>8</v>
      </c>
      <c r="AD12" s="22">
        <f>IFERROR(N12/$D12,0)</f>
        <v>8</v>
      </c>
      <c r="AE12" s="22">
        <f t="shared" ref="AE12:AI13" si="5">IFERROR(O12/$D12,0)</f>
        <v>8</v>
      </c>
      <c r="AF12" s="22">
        <f t="shared" si="5"/>
        <v>8</v>
      </c>
      <c r="AG12" s="22">
        <f t="shared" si="5"/>
        <v>8</v>
      </c>
      <c r="AH12" s="22">
        <f t="shared" si="5"/>
        <v>8</v>
      </c>
      <c r="AI12" s="22">
        <f t="shared" si="5"/>
        <v>8</v>
      </c>
      <c r="AJ12" s="82">
        <f>SUM(X12:AI12)/12</f>
        <v>7.833333333333333</v>
      </c>
      <c r="AK12" s="89">
        <v>0</v>
      </c>
      <c r="AL12" s="89">
        <f>SUM(X12:AI12)</f>
        <v>94</v>
      </c>
    </row>
    <row r="13" spans="1:41" s="4" customFormat="1" ht="12" customHeight="1" thickBot="1">
      <c r="A13" s="4" t="str">
        <f t="shared" si="0"/>
        <v>LATAH COUNTYRESIDENTIALRL090.0G1W001</v>
      </c>
      <c r="B13" s="5" t="s">
        <v>43</v>
      </c>
      <c r="C13" s="5" t="s">
        <v>44</v>
      </c>
      <c r="D13" s="188">
        <v>30.04</v>
      </c>
      <c r="E13" s="20"/>
      <c r="F13" s="21">
        <v>1351.8</v>
      </c>
      <c r="G13" s="21">
        <v>1351.8</v>
      </c>
      <c r="H13" s="21">
        <v>1351.8</v>
      </c>
      <c r="I13" s="21">
        <v>1351.8</v>
      </c>
      <c r="J13" s="21">
        <v>1351.8</v>
      </c>
      <c r="K13" s="21">
        <v>1381.84</v>
      </c>
      <c r="L13" s="23">
        <f t="shared" si="1"/>
        <v>8140.84</v>
      </c>
      <c r="M13" s="20"/>
      <c r="N13" s="21">
        <v>1351.8</v>
      </c>
      <c r="O13" s="21">
        <v>1351.8</v>
      </c>
      <c r="P13" s="21">
        <v>1351.8</v>
      </c>
      <c r="Q13" s="21">
        <v>1351.8</v>
      </c>
      <c r="R13" s="21">
        <v>1351.8</v>
      </c>
      <c r="S13" s="21">
        <v>1351.8</v>
      </c>
      <c r="T13" s="23">
        <f t="shared" si="2"/>
        <v>8110.8</v>
      </c>
      <c r="U13" s="23"/>
      <c r="V13" s="23">
        <f t="shared" si="3"/>
        <v>16251.64</v>
      </c>
      <c r="X13" s="22">
        <f>IFERROR(F13/$D13,0)</f>
        <v>45</v>
      </c>
      <c r="Y13" s="22">
        <f t="shared" si="4"/>
        <v>45</v>
      </c>
      <c r="Z13" s="22">
        <f t="shared" si="4"/>
        <v>45</v>
      </c>
      <c r="AA13" s="22">
        <f t="shared" si="4"/>
        <v>45</v>
      </c>
      <c r="AB13" s="22">
        <f t="shared" si="4"/>
        <v>45</v>
      </c>
      <c r="AC13" s="22">
        <f t="shared" si="4"/>
        <v>46</v>
      </c>
      <c r="AD13" s="22">
        <f>IFERROR(N13/$D13,0)</f>
        <v>45</v>
      </c>
      <c r="AE13" s="22">
        <f t="shared" si="5"/>
        <v>45</v>
      </c>
      <c r="AF13" s="22">
        <f t="shared" si="5"/>
        <v>45</v>
      </c>
      <c r="AG13" s="22">
        <f t="shared" si="5"/>
        <v>45</v>
      </c>
      <c r="AH13" s="22">
        <f t="shared" si="5"/>
        <v>45</v>
      </c>
      <c r="AI13" s="22">
        <f t="shared" si="5"/>
        <v>45</v>
      </c>
      <c r="AJ13" s="82">
        <f>SUM(X13:AI13)/12</f>
        <v>45.083333333333336</v>
      </c>
      <c r="AK13" s="89">
        <f>+AJ13</f>
        <v>45.083333333333336</v>
      </c>
      <c r="AL13" s="89">
        <f>SUM(X13:AI13)</f>
        <v>541</v>
      </c>
    </row>
    <row r="14" spans="1:41" s="4" customFormat="1" ht="12" customHeight="1" thickBot="1">
      <c r="B14" s="24"/>
      <c r="C14" s="24"/>
      <c r="D14" s="20"/>
      <c r="E14" s="20"/>
      <c r="F14" s="22"/>
      <c r="G14" s="22"/>
      <c r="H14" s="22"/>
      <c r="I14" s="22"/>
      <c r="J14" s="22"/>
      <c r="K14" s="22"/>
      <c r="L14" s="23"/>
      <c r="M14" s="20"/>
      <c r="N14" s="22"/>
      <c r="O14" s="22"/>
      <c r="P14" s="22"/>
      <c r="Q14" s="22"/>
      <c r="R14" s="22"/>
      <c r="S14" s="22"/>
      <c r="T14" s="23"/>
      <c r="U14" s="23"/>
      <c r="V14" s="23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84">
        <f>SUM(AJ12:AJ13)</f>
        <v>52.916666666666671</v>
      </c>
    </row>
    <row r="15" spans="1:41" s="2" customFormat="1" ht="12" customHeight="1">
      <c r="B15" s="25"/>
      <c r="C15" s="26" t="s">
        <v>8</v>
      </c>
      <c r="D15" s="20"/>
      <c r="E15" s="20"/>
      <c r="F15" s="27">
        <f t="shared" ref="F15:L15" si="6">SUM(F12:F14)</f>
        <v>1471.36</v>
      </c>
      <c r="G15" s="27">
        <f t="shared" si="6"/>
        <v>1471.36</v>
      </c>
      <c r="H15" s="27">
        <f t="shared" si="6"/>
        <v>1488.44</v>
      </c>
      <c r="I15" s="27">
        <f t="shared" si="6"/>
        <v>1488.44</v>
      </c>
      <c r="J15" s="27">
        <f t="shared" si="6"/>
        <v>1488.44</v>
      </c>
      <c r="K15" s="27">
        <f t="shared" si="6"/>
        <v>1518.48</v>
      </c>
      <c r="L15" s="27">
        <f t="shared" si="6"/>
        <v>8926.52</v>
      </c>
      <c r="M15" s="20"/>
      <c r="N15" s="27">
        <f t="shared" ref="N15:T15" si="7">SUM(N12:N14)</f>
        <v>1488.44</v>
      </c>
      <c r="O15" s="27">
        <f t="shared" si="7"/>
        <v>1488.44</v>
      </c>
      <c r="P15" s="27">
        <f t="shared" si="7"/>
        <v>1488.44</v>
      </c>
      <c r="Q15" s="27">
        <f t="shared" si="7"/>
        <v>1488.44</v>
      </c>
      <c r="R15" s="27">
        <f t="shared" si="7"/>
        <v>1488.44</v>
      </c>
      <c r="S15" s="27">
        <f t="shared" si="7"/>
        <v>1488.44</v>
      </c>
      <c r="T15" s="27">
        <f t="shared" si="7"/>
        <v>8930.64</v>
      </c>
      <c r="U15" s="43"/>
      <c r="V15" s="27">
        <f>SUM(V12:V14)</f>
        <v>17857.16</v>
      </c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</row>
    <row r="16" spans="1:41" s="4" customFormat="1" ht="12" customHeight="1">
      <c r="D16" s="20"/>
      <c r="E16" s="20"/>
      <c r="H16" s="2"/>
      <c r="L16" s="23"/>
      <c r="M16" s="20"/>
      <c r="P16" s="2"/>
      <c r="T16" s="23"/>
      <c r="U16" s="23"/>
      <c r="V16" s="23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5"/>
    </row>
    <row r="17" spans="2:23" ht="12" customHeight="1">
      <c r="B17" s="25"/>
      <c r="C17" s="40"/>
    </row>
    <row r="18" spans="2:23" ht="12" customHeight="1">
      <c r="B18" s="6"/>
      <c r="C18" s="37" t="s">
        <v>27</v>
      </c>
      <c r="F18" s="27">
        <f t="shared" ref="F18:K18" si="8">F15</f>
        <v>1471.36</v>
      </c>
      <c r="G18" s="27">
        <f t="shared" si="8"/>
        <v>1471.36</v>
      </c>
      <c r="H18" s="27">
        <f t="shared" si="8"/>
        <v>1488.44</v>
      </c>
      <c r="I18" s="27">
        <f t="shared" si="8"/>
        <v>1488.44</v>
      </c>
      <c r="J18" s="27">
        <f t="shared" si="8"/>
        <v>1488.44</v>
      </c>
      <c r="K18" s="27">
        <f t="shared" si="8"/>
        <v>1518.48</v>
      </c>
      <c r="L18" s="27">
        <f>L15</f>
        <v>8926.52</v>
      </c>
      <c r="N18" s="27">
        <f t="shared" ref="N18:S18" si="9">N15</f>
        <v>1488.44</v>
      </c>
      <c r="O18" s="27">
        <f t="shared" si="9"/>
        <v>1488.44</v>
      </c>
      <c r="P18" s="27">
        <f t="shared" si="9"/>
        <v>1488.44</v>
      </c>
      <c r="Q18" s="27">
        <f t="shared" si="9"/>
        <v>1488.44</v>
      </c>
      <c r="R18" s="27">
        <f t="shared" si="9"/>
        <v>1488.44</v>
      </c>
      <c r="S18" s="27">
        <f t="shared" si="9"/>
        <v>1488.44</v>
      </c>
      <c r="T18" s="27">
        <f>T15</f>
        <v>8930.64</v>
      </c>
      <c r="U18" s="43"/>
      <c r="V18" s="27">
        <f>V15</f>
        <v>17857.16</v>
      </c>
    </row>
    <row r="19" spans="2:23">
      <c r="B19" s="6"/>
      <c r="C19" s="6"/>
    </row>
    <row r="20" spans="2:23">
      <c r="F20" s="5">
        <v>1471.36</v>
      </c>
      <c r="G20" s="5">
        <v>1471.36</v>
      </c>
      <c r="H20" s="5">
        <v>1488.44</v>
      </c>
      <c r="I20" s="5">
        <v>1488.44</v>
      </c>
      <c r="J20" s="5">
        <v>1488.44</v>
      </c>
      <c r="K20" s="5">
        <v>1518.48</v>
      </c>
      <c r="N20" s="5">
        <v>1488.44</v>
      </c>
      <c r="O20" s="5">
        <v>1488.44</v>
      </c>
      <c r="P20" s="5">
        <v>1488.44</v>
      </c>
      <c r="Q20" s="5">
        <v>1488.44</v>
      </c>
      <c r="R20" s="5">
        <v>1488.44</v>
      </c>
      <c r="S20" s="5">
        <v>1488.44</v>
      </c>
      <c r="W20" s="5" t="s">
        <v>519</v>
      </c>
    </row>
    <row r="21" spans="2:23">
      <c r="F21" s="80">
        <f>F20-F18</f>
        <v>0</v>
      </c>
      <c r="G21" s="80">
        <f t="shared" ref="G21" si="10">G20-G18</f>
        <v>0</v>
      </c>
      <c r="H21" s="80">
        <f t="shared" ref="H21" si="11">H20-H18</f>
        <v>0</v>
      </c>
      <c r="I21" s="80">
        <f t="shared" ref="I21" si="12">I20-I18</f>
        <v>0</v>
      </c>
      <c r="J21" s="80">
        <f t="shared" ref="J21" si="13">J20-J18</f>
        <v>0</v>
      </c>
      <c r="K21" s="80">
        <f t="shared" ref="K21" si="14">K20-K18</f>
        <v>0</v>
      </c>
      <c r="N21" s="80">
        <f>N20-N18</f>
        <v>0</v>
      </c>
      <c r="O21" s="80">
        <f t="shared" ref="O21:S21" si="15">O20-O18</f>
        <v>0</v>
      </c>
      <c r="P21" s="80">
        <f t="shared" si="15"/>
        <v>0</v>
      </c>
      <c r="Q21" s="80">
        <f t="shared" si="15"/>
        <v>0</v>
      </c>
      <c r="R21" s="80">
        <f t="shared" si="15"/>
        <v>0</v>
      </c>
      <c r="S21" s="80">
        <f t="shared" si="15"/>
        <v>0</v>
      </c>
      <c r="W21" s="5" t="s">
        <v>517</v>
      </c>
    </row>
  </sheetData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  <pageSetUpPr fitToPage="1"/>
  </sheetPr>
  <dimension ref="A1:AN53"/>
  <sheetViews>
    <sheetView workbookViewId="0">
      <pane xSplit="3" ySplit="6" topLeftCell="D7" activePane="bottomRight" state="frozen"/>
      <selection activeCell="AF25" sqref="AF24:AF25"/>
      <selection pane="topRight" activeCell="AF25" sqref="AF24:AF25"/>
      <selection pane="bottomLeft" activeCell="AF25" sqref="AF24:AF25"/>
      <selection pane="bottomRight" activeCell="AM47" sqref="AM47"/>
    </sheetView>
  </sheetViews>
  <sheetFormatPr defaultRowHeight="12.75" outlineLevelCol="1"/>
  <cols>
    <col min="1" max="1" width="37.140625" style="5" bestFit="1" customWidth="1"/>
    <col min="2" max="2" width="22.7109375" style="16" customWidth="1"/>
    <col min="3" max="3" width="29.140625" style="16" bestFit="1" customWidth="1"/>
    <col min="4" max="4" width="9.28515625" style="5" customWidth="1"/>
    <col min="5" max="5" width="2.7109375" style="5" customWidth="1"/>
    <col min="6" max="11" width="10" style="5" hidden="1" customWidth="1" outlineLevel="1"/>
    <col min="12" max="12" width="11" style="5" bestFit="1" customWidth="1" collapsed="1"/>
    <col min="13" max="13" width="2" style="5" customWidth="1"/>
    <col min="14" max="19" width="10" style="5" hidden="1" customWidth="1" outlineLevel="1"/>
    <col min="20" max="20" width="11" style="5" bestFit="1" customWidth="1" collapsed="1"/>
    <col min="21" max="21" width="3" style="5" customWidth="1"/>
    <col min="22" max="22" width="11" style="5" customWidth="1"/>
    <col min="23" max="23" width="9.140625" style="5"/>
    <col min="24" max="32" width="8" style="5" hidden="1" customWidth="1" outlineLevel="1"/>
    <col min="33" max="35" width="9.42578125" style="5" hidden="1" customWidth="1" outlineLevel="1"/>
    <col min="36" max="36" width="5.5703125" style="5" bestFit="1" customWidth="1" collapsed="1"/>
    <col min="37" max="37" width="5.7109375" style="5" bestFit="1" customWidth="1"/>
    <col min="38" max="38" width="7.5703125" style="5" bestFit="1" customWidth="1"/>
    <col min="39" max="16384" width="9.140625" style="5"/>
  </cols>
  <sheetData>
    <row r="1" spans="1:40" ht="12" customHeight="1">
      <c r="B1" s="1" t="s">
        <v>28</v>
      </c>
      <c r="C1" s="2"/>
      <c r="D1" s="3"/>
      <c r="E1" s="3"/>
      <c r="F1" s="4"/>
      <c r="G1" s="4"/>
      <c r="H1" s="4"/>
      <c r="I1" s="4"/>
      <c r="J1" s="4"/>
      <c r="K1" s="4"/>
      <c r="L1" s="4"/>
      <c r="M1" s="2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40" ht="12" customHeight="1">
      <c r="B2" s="1" t="s">
        <v>250</v>
      </c>
      <c r="C2" s="2"/>
      <c r="D2" s="3"/>
      <c r="E2" s="3"/>
      <c r="G2" s="4"/>
      <c r="H2" s="4"/>
      <c r="I2" s="4"/>
      <c r="J2" s="4"/>
      <c r="K2" s="4"/>
      <c r="L2" s="4"/>
      <c r="M2" s="2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40" ht="12" customHeight="1">
      <c r="B3" s="6" t="str">
        <f>'Latah Co Non-Reg - Price Out'!B3</f>
        <v>July 1, 2015 - June 30, 2016</v>
      </c>
      <c r="C3" s="2"/>
      <c r="D3" s="3"/>
      <c r="E3" s="3"/>
      <c r="F3" s="7"/>
      <c r="G3" s="4"/>
      <c r="H3" s="4"/>
      <c r="I3" s="4"/>
      <c r="J3" s="4"/>
      <c r="K3" s="4"/>
      <c r="L3" s="4"/>
      <c r="M3" s="2"/>
      <c r="N3" s="7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40" ht="12" customHeight="1">
      <c r="B4" s="2"/>
      <c r="C4" s="8"/>
      <c r="D4" s="9" t="s">
        <v>558</v>
      </c>
      <c r="E4" s="13"/>
      <c r="F4" s="103">
        <v>42186</v>
      </c>
      <c r="G4" s="103">
        <v>42217</v>
      </c>
      <c r="H4" s="103">
        <v>42248</v>
      </c>
      <c r="I4" s="103">
        <v>42278</v>
      </c>
      <c r="J4" s="103">
        <v>42309</v>
      </c>
      <c r="K4" s="103">
        <v>42339</v>
      </c>
      <c r="L4" s="104">
        <v>2015</v>
      </c>
      <c r="M4" s="2"/>
      <c r="N4" s="10">
        <v>42370</v>
      </c>
      <c r="O4" s="10">
        <v>42401</v>
      </c>
      <c r="P4" s="10">
        <v>42430</v>
      </c>
      <c r="Q4" s="10">
        <v>42461</v>
      </c>
      <c r="R4" s="10">
        <v>42491</v>
      </c>
      <c r="S4" s="10">
        <v>42522</v>
      </c>
      <c r="T4" s="11">
        <v>2016</v>
      </c>
      <c r="U4" s="8"/>
      <c r="V4" s="11" t="s">
        <v>0</v>
      </c>
      <c r="W4" s="4"/>
      <c r="X4" s="12">
        <v>42186</v>
      </c>
      <c r="Y4" s="12">
        <v>42217</v>
      </c>
      <c r="Z4" s="12">
        <v>42248</v>
      </c>
      <c r="AA4" s="12">
        <v>42278</v>
      </c>
      <c r="AB4" s="12">
        <v>42309</v>
      </c>
      <c r="AC4" s="12">
        <v>42339</v>
      </c>
      <c r="AD4" s="12">
        <v>42370</v>
      </c>
      <c r="AE4" s="12">
        <v>42401</v>
      </c>
      <c r="AF4" s="12">
        <v>42430</v>
      </c>
      <c r="AG4" s="12">
        <v>42461</v>
      </c>
      <c r="AH4" s="12">
        <v>42491</v>
      </c>
      <c r="AI4" s="12">
        <v>42522</v>
      </c>
      <c r="AJ4" s="12" t="s">
        <v>462</v>
      </c>
      <c r="AK4" s="12" t="s">
        <v>490</v>
      </c>
      <c r="AL4" s="92" t="s">
        <v>492</v>
      </c>
    </row>
    <row r="5" spans="1:40" ht="12" customHeight="1">
      <c r="B5" s="13" t="s">
        <v>1</v>
      </c>
      <c r="C5" s="8" t="s">
        <v>2</v>
      </c>
      <c r="D5" s="14" t="s">
        <v>3</v>
      </c>
      <c r="E5" s="102"/>
      <c r="F5" s="104" t="s">
        <v>4</v>
      </c>
      <c r="G5" s="104" t="s">
        <v>4</v>
      </c>
      <c r="H5" s="104" t="s">
        <v>4</v>
      </c>
      <c r="I5" s="104" t="s">
        <v>4</v>
      </c>
      <c r="J5" s="104" t="s">
        <v>4</v>
      </c>
      <c r="K5" s="104" t="s">
        <v>4</v>
      </c>
      <c r="L5" s="104" t="s">
        <v>4</v>
      </c>
      <c r="M5" s="8"/>
      <c r="N5" s="11" t="s">
        <v>4</v>
      </c>
      <c r="O5" s="11" t="s">
        <v>4</v>
      </c>
      <c r="P5" s="11" t="s">
        <v>4</v>
      </c>
      <c r="Q5" s="11" t="s">
        <v>4</v>
      </c>
      <c r="R5" s="11" t="s">
        <v>4</v>
      </c>
      <c r="S5" s="11" t="s">
        <v>4</v>
      </c>
      <c r="T5" s="11" t="s">
        <v>4</v>
      </c>
      <c r="U5" s="8"/>
      <c r="V5" s="11" t="s">
        <v>4</v>
      </c>
      <c r="W5" s="4"/>
      <c r="X5" s="15" t="s">
        <v>5</v>
      </c>
      <c r="Y5" s="15" t="s">
        <v>5</v>
      </c>
      <c r="Z5" s="15" t="s">
        <v>5</v>
      </c>
      <c r="AA5" s="15" t="s">
        <v>5</v>
      </c>
      <c r="AB5" s="15" t="s">
        <v>5</v>
      </c>
      <c r="AC5" s="15" t="s">
        <v>5</v>
      </c>
      <c r="AD5" s="15" t="s">
        <v>5</v>
      </c>
      <c r="AE5" s="15" t="s">
        <v>5</v>
      </c>
      <c r="AF5" s="15" t="s">
        <v>5</v>
      </c>
      <c r="AG5" s="15" t="s">
        <v>5</v>
      </c>
      <c r="AH5" s="15" t="s">
        <v>5</v>
      </c>
      <c r="AI5" s="15" t="s">
        <v>5</v>
      </c>
      <c r="AJ5" s="15" t="s">
        <v>491</v>
      </c>
      <c r="AK5" s="15" t="s">
        <v>489</v>
      </c>
      <c r="AL5" s="93" t="s">
        <v>491</v>
      </c>
    </row>
    <row r="6" spans="1:40" ht="12" customHeight="1"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</row>
    <row r="7" spans="1:40" s="4" customFormat="1" ht="12" customHeight="1">
      <c r="C7" s="2"/>
      <c r="D7" s="3"/>
      <c r="E7" s="3"/>
      <c r="M7" s="2"/>
      <c r="AJ7" s="5"/>
    </row>
    <row r="8" spans="1:40" s="4" customFormat="1" ht="12" customHeight="1">
      <c r="D8" s="3"/>
      <c r="E8" s="3"/>
      <c r="M8" s="17"/>
      <c r="AJ8" s="5"/>
      <c r="AM8" s="4" t="s">
        <v>478</v>
      </c>
      <c r="AN8" s="89">
        <f>SUM(AK12:AK17,AK34:AK34)</f>
        <v>126.62511627906976</v>
      </c>
    </row>
    <row r="9" spans="1:40" s="4" customFormat="1" ht="12" customHeight="1">
      <c r="B9" s="18" t="s">
        <v>6</v>
      </c>
      <c r="C9" s="18" t="s">
        <v>6</v>
      </c>
      <c r="D9" s="3"/>
      <c r="E9" s="3"/>
      <c r="M9" s="17"/>
      <c r="AJ9" s="5"/>
      <c r="AM9" s="4" t="s">
        <v>479</v>
      </c>
      <c r="AN9" s="89">
        <f>SUM(AK29:AK32)</f>
        <v>12.833336795457694</v>
      </c>
    </row>
    <row r="10" spans="1:40" s="4" customFormat="1" ht="12" customHeight="1">
      <c r="B10" s="18"/>
      <c r="C10" s="18"/>
      <c r="D10" s="3"/>
      <c r="E10" s="3"/>
      <c r="M10" s="17"/>
      <c r="AJ10" s="5"/>
    </row>
    <row r="11" spans="1:40" s="4" customFormat="1" ht="12" customHeight="1">
      <c r="B11" s="19" t="s">
        <v>7</v>
      </c>
      <c r="C11" s="19" t="s">
        <v>7</v>
      </c>
      <c r="D11" s="20"/>
      <c r="E11" s="20"/>
      <c r="F11" s="22"/>
      <c r="G11" s="22"/>
      <c r="H11" s="22"/>
      <c r="I11" s="22"/>
      <c r="J11" s="22"/>
      <c r="K11" s="22"/>
      <c r="L11" s="23"/>
      <c r="M11" s="20"/>
      <c r="N11" s="22"/>
      <c r="O11" s="22"/>
      <c r="P11" s="22"/>
      <c r="Q11" s="22"/>
      <c r="R11" s="22"/>
      <c r="S11" s="22"/>
      <c r="T11" s="23"/>
      <c r="U11" s="23"/>
      <c r="V11" s="23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5"/>
    </row>
    <row r="12" spans="1:40" s="4" customFormat="1" ht="12" customHeight="1">
      <c r="A12" s="4" t="str">
        <f>"ROCKFORD"&amp;"RESIDENTIAL"&amp;B12</f>
        <v>ROCKFORDRESIDENTIALRL020.0G1W001</v>
      </c>
      <c r="B12" s="5" t="s">
        <v>29</v>
      </c>
      <c r="C12" s="5" t="s">
        <v>30</v>
      </c>
      <c r="D12" s="20">
        <v>10.6</v>
      </c>
      <c r="E12" s="20"/>
      <c r="F12" s="21">
        <v>95.4</v>
      </c>
      <c r="G12" s="21">
        <v>95.4</v>
      </c>
      <c r="H12" s="21">
        <v>95.4</v>
      </c>
      <c r="I12" s="21">
        <v>106</v>
      </c>
      <c r="J12" s="21">
        <v>95.4</v>
      </c>
      <c r="K12" s="21">
        <v>79.5</v>
      </c>
      <c r="L12" s="23">
        <f t="shared" ref="L12:L22" si="0">SUM(F12:K12)</f>
        <v>567.1</v>
      </c>
      <c r="M12" s="20"/>
      <c r="N12" s="21">
        <v>84.8</v>
      </c>
      <c r="O12" s="21">
        <v>84.8</v>
      </c>
      <c r="P12" s="21">
        <v>84.8</v>
      </c>
      <c r="Q12" s="21">
        <v>63.6</v>
      </c>
      <c r="R12" s="21">
        <v>58.3</v>
      </c>
      <c r="S12" s="21">
        <v>42.4</v>
      </c>
      <c r="T12" s="23">
        <f t="shared" ref="T12:T22" si="1">SUM(N12:S12)</f>
        <v>418.7</v>
      </c>
      <c r="U12" s="23"/>
      <c r="V12" s="23">
        <f>L12+T12</f>
        <v>985.8</v>
      </c>
      <c r="X12" s="22">
        <f>IFERROR(F12/$D12,0)</f>
        <v>9</v>
      </c>
      <c r="Y12" s="22">
        <f t="shared" ref="Y12:AC12" si="2">IFERROR(G12/$D12,0)</f>
        <v>9</v>
      </c>
      <c r="Z12" s="22">
        <f t="shared" si="2"/>
        <v>9</v>
      </c>
      <c r="AA12" s="22">
        <f t="shared" si="2"/>
        <v>10</v>
      </c>
      <c r="AB12" s="22">
        <f t="shared" si="2"/>
        <v>9</v>
      </c>
      <c r="AC12" s="22">
        <f t="shared" si="2"/>
        <v>7.5</v>
      </c>
      <c r="AD12" s="22">
        <f>IFERROR(N12/$D12,0)</f>
        <v>8</v>
      </c>
      <c r="AE12" s="22">
        <f t="shared" ref="AE12:AI12" si="3">IFERROR(O12/$D12,0)</f>
        <v>8</v>
      </c>
      <c r="AF12" s="22">
        <f t="shared" si="3"/>
        <v>8</v>
      </c>
      <c r="AG12" s="22">
        <f t="shared" si="3"/>
        <v>6</v>
      </c>
      <c r="AH12" s="22">
        <f t="shared" si="3"/>
        <v>5.5</v>
      </c>
      <c r="AI12" s="22">
        <f t="shared" si="3"/>
        <v>4</v>
      </c>
      <c r="AJ12" s="82">
        <f>SUM(X12:AI12)/12</f>
        <v>7.75</v>
      </c>
      <c r="AK12" s="89">
        <v>0</v>
      </c>
      <c r="AL12" s="89">
        <f>SUM(X12:AI12)</f>
        <v>93</v>
      </c>
    </row>
    <row r="13" spans="1:40" s="4" customFormat="1" ht="12" customHeight="1">
      <c r="A13" s="4" t="str">
        <f t="shared" ref="A13:A22" si="4">"ROCKFORD"&amp;"RESIDENTIAL"&amp;B13</f>
        <v>ROCKFORDRESIDENTIALRL032.0G1W001</v>
      </c>
      <c r="B13" s="5" t="s">
        <v>33</v>
      </c>
      <c r="C13" s="5" t="s">
        <v>34</v>
      </c>
      <c r="D13" s="20">
        <v>15.4</v>
      </c>
      <c r="E13" s="20"/>
      <c r="F13" s="21">
        <v>585.20000000000005</v>
      </c>
      <c r="G13" s="21">
        <v>585.20000000000005</v>
      </c>
      <c r="H13" s="21">
        <v>596.75</v>
      </c>
      <c r="I13" s="21">
        <v>585.20000000000005</v>
      </c>
      <c r="J13" s="21">
        <v>600.6</v>
      </c>
      <c r="K13" s="21">
        <v>600.6</v>
      </c>
      <c r="L13" s="23">
        <f t="shared" si="0"/>
        <v>3553.55</v>
      </c>
      <c r="M13" s="20"/>
      <c r="N13" s="21">
        <v>600.6</v>
      </c>
      <c r="O13" s="21">
        <v>585.20000000000005</v>
      </c>
      <c r="P13" s="21">
        <v>585.20000000000005</v>
      </c>
      <c r="Q13" s="21">
        <v>539</v>
      </c>
      <c r="R13" s="21">
        <v>550.54999999999995</v>
      </c>
      <c r="S13" s="21">
        <v>565.95000000000005</v>
      </c>
      <c r="T13" s="23">
        <f t="shared" si="1"/>
        <v>3426.5</v>
      </c>
      <c r="U13" s="23"/>
      <c r="V13" s="23">
        <f t="shared" ref="V13:V22" si="5">L13+T13</f>
        <v>6980.05</v>
      </c>
      <c r="X13" s="22">
        <f t="shared" ref="X13:X21" si="6">IFERROR(F13/$D13,0)</f>
        <v>38</v>
      </c>
      <c r="Y13" s="22">
        <f t="shared" ref="Y13:Y17" si="7">IFERROR(G13/$D13,0)</f>
        <v>38</v>
      </c>
      <c r="Z13" s="22">
        <f t="shared" ref="Z13:Z17" si="8">IFERROR(H13/$D13,0)</f>
        <v>38.75</v>
      </c>
      <c r="AA13" s="22">
        <f t="shared" ref="AA13:AA17" si="9">IFERROR(I13/$D13,0)</f>
        <v>38</v>
      </c>
      <c r="AB13" s="22">
        <f t="shared" ref="AB13:AB17" si="10">IFERROR(J13/$D13,0)</f>
        <v>39</v>
      </c>
      <c r="AC13" s="22">
        <f t="shared" ref="AC13:AC17" si="11">IFERROR(K13/$D13,0)</f>
        <v>39</v>
      </c>
      <c r="AD13" s="22">
        <f t="shared" ref="AD13:AD17" si="12">IFERROR(N13/$D13,0)</f>
        <v>39</v>
      </c>
      <c r="AE13" s="22">
        <f t="shared" ref="AE13:AE17" si="13">IFERROR(O13/$D13,0)</f>
        <v>38</v>
      </c>
      <c r="AF13" s="22">
        <f t="shared" ref="AF13:AF17" si="14">IFERROR(P13/$D13,0)</f>
        <v>38</v>
      </c>
      <c r="AG13" s="22">
        <f t="shared" ref="AG13:AG17" si="15">IFERROR(Q13/$D13,0)</f>
        <v>35</v>
      </c>
      <c r="AH13" s="22">
        <f t="shared" ref="AH13:AH17" si="16">IFERROR(R13/$D13,0)</f>
        <v>35.749999999999993</v>
      </c>
      <c r="AI13" s="22">
        <f t="shared" ref="AI13:AI17" si="17">IFERROR(S13/$D13,0)</f>
        <v>36.75</v>
      </c>
      <c r="AJ13" s="82">
        <f t="shared" ref="AJ13:AJ17" si="18">SUM(X13:AI13)/12</f>
        <v>37.770833333333336</v>
      </c>
      <c r="AK13" s="89">
        <v>0</v>
      </c>
      <c r="AL13" s="89">
        <f t="shared" ref="AL13:AL20" si="19">SUM(X13:AI13)</f>
        <v>453.25</v>
      </c>
    </row>
    <row r="14" spans="1:40" s="4" customFormat="1" ht="12" customHeight="1">
      <c r="A14" s="4" t="str">
        <f t="shared" si="4"/>
        <v>ROCKFORDRESIDENTIALRL032.0G1W002</v>
      </c>
      <c r="B14" s="5" t="s">
        <v>35</v>
      </c>
      <c r="C14" s="5" t="s">
        <v>36</v>
      </c>
      <c r="D14" s="20">
        <v>19.25</v>
      </c>
      <c r="E14" s="20"/>
      <c r="F14" s="21">
        <v>115.5</v>
      </c>
      <c r="G14" s="21">
        <v>115.5</v>
      </c>
      <c r="H14" s="21">
        <v>115.5</v>
      </c>
      <c r="I14" s="21">
        <v>115.5</v>
      </c>
      <c r="J14" s="21">
        <v>115.5</v>
      </c>
      <c r="K14" s="21">
        <v>115.5</v>
      </c>
      <c r="L14" s="23">
        <f t="shared" si="0"/>
        <v>693</v>
      </c>
      <c r="M14" s="20"/>
      <c r="N14" s="21">
        <v>115.5</v>
      </c>
      <c r="O14" s="21">
        <v>96.25</v>
      </c>
      <c r="P14" s="21">
        <v>96.25</v>
      </c>
      <c r="Q14" s="21">
        <v>96.25</v>
      </c>
      <c r="R14" s="21">
        <v>96.25</v>
      </c>
      <c r="S14" s="21">
        <v>96.25</v>
      </c>
      <c r="T14" s="23">
        <f t="shared" si="1"/>
        <v>596.75</v>
      </c>
      <c r="U14" s="23"/>
      <c r="V14" s="23">
        <f t="shared" si="5"/>
        <v>1289.75</v>
      </c>
      <c r="X14" s="22">
        <f t="shared" si="6"/>
        <v>6</v>
      </c>
      <c r="Y14" s="22">
        <f t="shared" si="7"/>
        <v>6</v>
      </c>
      <c r="Z14" s="22">
        <f t="shared" si="8"/>
        <v>6</v>
      </c>
      <c r="AA14" s="22">
        <f t="shared" si="9"/>
        <v>6</v>
      </c>
      <c r="AB14" s="22">
        <f t="shared" si="10"/>
        <v>6</v>
      </c>
      <c r="AC14" s="22">
        <f t="shared" si="11"/>
        <v>6</v>
      </c>
      <c r="AD14" s="22">
        <f t="shared" si="12"/>
        <v>6</v>
      </c>
      <c r="AE14" s="22">
        <f t="shared" si="13"/>
        <v>5</v>
      </c>
      <c r="AF14" s="22">
        <f t="shared" si="14"/>
        <v>5</v>
      </c>
      <c r="AG14" s="22">
        <f t="shared" si="15"/>
        <v>5</v>
      </c>
      <c r="AH14" s="22">
        <f t="shared" si="16"/>
        <v>5</v>
      </c>
      <c r="AI14" s="22">
        <f t="shared" si="17"/>
        <v>5</v>
      </c>
      <c r="AJ14" s="82">
        <f t="shared" si="18"/>
        <v>5.583333333333333</v>
      </c>
      <c r="AK14" s="89">
        <v>0</v>
      </c>
      <c r="AL14" s="89">
        <f t="shared" si="19"/>
        <v>67</v>
      </c>
    </row>
    <row r="15" spans="1:40" s="4" customFormat="1" ht="12" customHeight="1">
      <c r="A15" s="4" t="str">
        <f t="shared" si="4"/>
        <v>ROCKFORDRESIDENTIALRL065.0G1W001</v>
      </c>
      <c r="B15" s="5" t="s">
        <v>39</v>
      </c>
      <c r="C15" s="5" t="s">
        <v>40</v>
      </c>
      <c r="D15" s="20">
        <v>20.6</v>
      </c>
      <c r="E15" s="20"/>
      <c r="F15" s="21">
        <v>41.2</v>
      </c>
      <c r="G15" s="21">
        <v>41.2</v>
      </c>
      <c r="H15" s="21">
        <v>51.5</v>
      </c>
      <c r="I15" s="21">
        <v>41.2</v>
      </c>
      <c r="J15" s="21">
        <v>20.6</v>
      </c>
      <c r="K15" s="21">
        <v>20.6</v>
      </c>
      <c r="L15" s="23">
        <f t="shared" si="0"/>
        <v>216.3</v>
      </c>
      <c r="M15" s="20"/>
      <c r="N15" s="21">
        <v>20.6</v>
      </c>
      <c r="O15" s="21">
        <v>20.6</v>
      </c>
      <c r="P15" s="21">
        <v>20.6</v>
      </c>
      <c r="Q15" s="21">
        <v>20.6</v>
      </c>
      <c r="R15" s="21">
        <v>20.6</v>
      </c>
      <c r="S15" s="21">
        <v>20.6</v>
      </c>
      <c r="T15" s="23">
        <f t="shared" si="1"/>
        <v>123.6</v>
      </c>
      <c r="U15" s="23"/>
      <c r="V15" s="23">
        <f t="shared" si="5"/>
        <v>339.9</v>
      </c>
      <c r="X15" s="22">
        <f t="shared" si="6"/>
        <v>2</v>
      </c>
      <c r="Y15" s="22">
        <f t="shared" si="7"/>
        <v>2</v>
      </c>
      <c r="Z15" s="22">
        <f t="shared" si="8"/>
        <v>2.5</v>
      </c>
      <c r="AA15" s="22">
        <f t="shared" si="9"/>
        <v>2</v>
      </c>
      <c r="AB15" s="22">
        <f t="shared" si="10"/>
        <v>1</v>
      </c>
      <c r="AC15" s="22">
        <f t="shared" si="11"/>
        <v>1</v>
      </c>
      <c r="AD15" s="22">
        <f t="shared" si="12"/>
        <v>1</v>
      </c>
      <c r="AE15" s="22">
        <f t="shared" si="13"/>
        <v>1</v>
      </c>
      <c r="AF15" s="22">
        <f t="shared" si="14"/>
        <v>1</v>
      </c>
      <c r="AG15" s="22">
        <f t="shared" si="15"/>
        <v>1</v>
      </c>
      <c r="AH15" s="22">
        <f t="shared" si="16"/>
        <v>1</v>
      </c>
      <c r="AI15" s="22">
        <f t="shared" si="17"/>
        <v>1</v>
      </c>
      <c r="AJ15" s="82">
        <f t="shared" si="18"/>
        <v>1.375</v>
      </c>
      <c r="AK15" s="89">
        <f>+AJ15</f>
        <v>1.375</v>
      </c>
      <c r="AL15" s="89">
        <f t="shared" si="19"/>
        <v>16.5</v>
      </c>
    </row>
    <row r="16" spans="1:40" s="4" customFormat="1" ht="12" customHeight="1">
      <c r="A16" s="4" t="str">
        <f t="shared" si="4"/>
        <v>ROCKFORDRESIDENTIALRL090.0G1W001</v>
      </c>
      <c r="B16" s="5" t="s">
        <v>43</v>
      </c>
      <c r="C16" s="5" t="s">
        <v>44</v>
      </c>
      <c r="D16" s="20">
        <v>21.5</v>
      </c>
      <c r="E16" s="20"/>
      <c r="F16" s="21">
        <v>2472.5</v>
      </c>
      <c r="G16" s="21">
        <v>2451</v>
      </c>
      <c r="H16" s="21">
        <v>2391.88</v>
      </c>
      <c r="I16" s="21">
        <v>2386.5</v>
      </c>
      <c r="J16" s="21">
        <v>2429.5</v>
      </c>
      <c r="K16" s="21">
        <v>2429.5100000000002</v>
      </c>
      <c r="L16" s="23">
        <f t="shared" si="0"/>
        <v>14560.890000000001</v>
      </c>
      <c r="M16" s="20"/>
      <c r="N16" s="21">
        <v>2408</v>
      </c>
      <c r="O16" s="21">
        <v>2418.75</v>
      </c>
      <c r="P16" s="21">
        <v>2418.75</v>
      </c>
      <c r="Q16" s="21">
        <v>2434.88</v>
      </c>
      <c r="R16" s="21">
        <v>2483.25</v>
      </c>
      <c r="S16" s="21">
        <v>2494.0100000000002</v>
      </c>
      <c r="T16" s="23">
        <f t="shared" si="1"/>
        <v>14657.640000000001</v>
      </c>
      <c r="U16" s="23"/>
      <c r="V16" s="23">
        <f t="shared" si="5"/>
        <v>29218.530000000002</v>
      </c>
      <c r="X16" s="22">
        <f t="shared" si="6"/>
        <v>115</v>
      </c>
      <c r="Y16" s="22">
        <f t="shared" si="7"/>
        <v>114</v>
      </c>
      <c r="Z16" s="22">
        <f t="shared" si="8"/>
        <v>111.25023255813954</v>
      </c>
      <c r="AA16" s="22">
        <f t="shared" si="9"/>
        <v>111</v>
      </c>
      <c r="AB16" s="22">
        <f t="shared" si="10"/>
        <v>113</v>
      </c>
      <c r="AC16" s="22">
        <f t="shared" si="11"/>
        <v>113.00046511627907</v>
      </c>
      <c r="AD16" s="22">
        <f t="shared" si="12"/>
        <v>112</v>
      </c>
      <c r="AE16" s="22">
        <f t="shared" si="13"/>
        <v>112.5</v>
      </c>
      <c r="AF16" s="22">
        <f t="shared" si="14"/>
        <v>112.5</v>
      </c>
      <c r="AG16" s="22">
        <f t="shared" si="15"/>
        <v>113.25023255813954</v>
      </c>
      <c r="AH16" s="22">
        <f t="shared" si="16"/>
        <v>115.5</v>
      </c>
      <c r="AI16" s="22">
        <f t="shared" si="17"/>
        <v>116.00046511627907</v>
      </c>
      <c r="AJ16" s="82">
        <f t="shared" si="18"/>
        <v>113.25011627906976</v>
      </c>
      <c r="AK16" s="89">
        <f>+AJ16</f>
        <v>113.25011627906976</v>
      </c>
      <c r="AL16" s="89">
        <f t="shared" si="19"/>
        <v>1359.0013953488371</v>
      </c>
    </row>
    <row r="17" spans="1:38" s="4" customFormat="1" ht="12" customHeight="1">
      <c r="A17" s="4" t="str">
        <f t="shared" si="4"/>
        <v>ROCKFORDRESIDENTIALRL090.0G1W002</v>
      </c>
      <c r="B17" s="5" t="s">
        <v>45</v>
      </c>
      <c r="C17" s="5" t="s">
        <v>46</v>
      </c>
      <c r="D17" s="20">
        <v>43</v>
      </c>
      <c r="E17" s="20"/>
      <c r="F17" s="21">
        <v>86</v>
      </c>
      <c r="G17" s="21">
        <v>107.5</v>
      </c>
      <c r="H17" s="21">
        <v>129</v>
      </c>
      <c r="I17" s="21">
        <v>129</v>
      </c>
      <c r="J17" s="21">
        <v>86</v>
      </c>
      <c r="K17" s="21">
        <v>86</v>
      </c>
      <c r="L17" s="23">
        <f t="shared" si="0"/>
        <v>623.5</v>
      </c>
      <c r="M17" s="20"/>
      <c r="N17" s="21">
        <v>86</v>
      </c>
      <c r="O17" s="21">
        <v>86</v>
      </c>
      <c r="P17" s="21">
        <v>86</v>
      </c>
      <c r="Q17" s="21">
        <v>129</v>
      </c>
      <c r="R17" s="21">
        <v>129</v>
      </c>
      <c r="S17" s="21">
        <v>129</v>
      </c>
      <c r="T17" s="23">
        <f t="shared" si="1"/>
        <v>645</v>
      </c>
      <c r="U17" s="23"/>
      <c r="V17" s="23">
        <f t="shared" si="5"/>
        <v>1268.5</v>
      </c>
      <c r="X17" s="22">
        <f t="shared" si="6"/>
        <v>2</v>
      </c>
      <c r="Y17" s="22">
        <f t="shared" si="7"/>
        <v>2.5</v>
      </c>
      <c r="Z17" s="22">
        <f t="shared" si="8"/>
        <v>3</v>
      </c>
      <c r="AA17" s="22">
        <f t="shared" si="9"/>
        <v>3</v>
      </c>
      <c r="AB17" s="22">
        <f t="shared" si="10"/>
        <v>2</v>
      </c>
      <c r="AC17" s="22">
        <f t="shared" si="11"/>
        <v>2</v>
      </c>
      <c r="AD17" s="22">
        <f t="shared" si="12"/>
        <v>2</v>
      </c>
      <c r="AE17" s="22">
        <f t="shared" si="13"/>
        <v>2</v>
      </c>
      <c r="AF17" s="22">
        <f t="shared" si="14"/>
        <v>2</v>
      </c>
      <c r="AG17" s="22">
        <f t="shared" si="15"/>
        <v>3</v>
      </c>
      <c r="AH17" s="22">
        <f t="shared" si="16"/>
        <v>3</v>
      </c>
      <c r="AI17" s="22">
        <f t="shared" si="17"/>
        <v>3</v>
      </c>
      <c r="AJ17" s="82">
        <f t="shared" si="18"/>
        <v>2.4583333333333335</v>
      </c>
      <c r="AK17" s="89">
        <f>+AJ17*2</f>
        <v>4.916666666666667</v>
      </c>
      <c r="AL17" s="89">
        <f t="shared" si="19"/>
        <v>29.5</v>
      </c>
    </row>
    <row r="18" spans="1:38" s="4" customFormat="1" ht="12" customHeight="1">
      <c r="A18" s="4" t="str">
        <f t="shared" si="4"/>
        <v>ROCKFORDRESIDENTIALEXTRA-RES</v>
      </c>
      <c r="B18" s="5" t="s">
        <v>51</v>
      </c>
      <c r="C18" s="5" t="s">
        <v>52</v>
      </c>
      <c r="D18" s="20">
        <v>3.05</v>
      </c>
      <c r="E18" s="20"/>
      <c r="F18" s="21">
        <v>88.45</v>
      </c>
      <c r="G18" s="21">
        <v>61</v>
      </c>
      <c r="H18" s="21">
        <v>91.5</v>
      </c>
      <c r="I18" s="21">
        <v>76.25</v>
      </c>
      <c r="J18" s="21">
        <v>48.8</v>
      </c>
      <c r="K18" s="21">
        <v>61</v>
      </c>
      <c r="L18" s="23">
        <f t="shared" si="0"/>
        <v>427</v>
      </c>
      <c r="M18" s="20"/>
      <c r="N18" s="21">
        <v>48.8</v>
      </c>
      <c r="O18" s="21">
        <v>15.25</v>
      </c>
      <c r="P18" s="21">
        <v>48.8</v>
      </c>
      <c r="Q18" s="21">
        <v>70.150000000000006</v>
      </c>
      <c r="R18" s="21">
        <v>54.9</v>
      </c>
      <c r="S18" s="21">
        <v>59.67</v>
      </c>
      <c r="T18" s="23">
        <f t="shared" si="1"/>
        <v>297.57</v>
      </c>
      <c r="U18" s="23"/>
      <c r="V18" s="23">
        <f t="shared" si="5"/>
        <v>724.56999999999994</v>
      </c>
      <c r="X18" s="22">
        <f t="shared" si="6"/>
        <v>29.000000000000004</v>
      </c>
      <c r="Y18" s="22">
        <f t="shared" ref="Y18:Y21" si="20">IFERROR(G18/$D18,0)</f>
        <v>20</v>
      </c>
      <c r="Z18" s="22">
        <f t="shared" ref="Z18:Z21" si="21">IFERROR(H18/$D18,0)</f>
        <v>30</v>
      </c>
      <c r="AA18" s="22">
        <f t="shared" ref="AA18:AA21" si="22">IFERROR(I18/$D18,0)</f>
        <v>25</v>
      </c>
      <c r="AB18" s="22">
        <f t="shared" ref="AB18:AB21" si="23">IFERROR(J18/$D18,0)</f>
        <v>16</v>
      </c>
      <c r="AC18" s="22">
        <f t="shared" ref="AC18:AC21" si="24">IFERROR(K18/$D18,0)</f>
        <v>20</v>
      </c>
      <c r="AD18" s="22">
        <f t="shared" ref="AD18:AD21" si="25">IFERROR(N18/$D18,0)</f>
        <v>16</v>
      </c>
      <c r="AE18" s="22">
        <f t="shared" ref="AE18:AE21" si="26">IFERROR(O18/$D18,0)</f>
        <v>5</v>
      </c>
      <c r="AF18" s="22">
        <f t="shared" ref="AF18:AF21" si="27">IFERROR(P18/$D18,0)</f>
        <v>16</v>
      </c>
      <c r="AG18" s="22">
        <f t="shared" ref="AG18:AG21" si="28">IFERROR(Q18/$D18,0)</f>
        <v>23.000000000000004</v>
      </c>
      <c r="AH18" s="22">
        <f t="shared" ref="AH18:AH21" si="29">IFERROR(R18/$D18,0)</f>
        <v>18</v>
      </c>
      <c r="AI18" s="22">
        <f t="shared" ref="AI18:AI21" si="30">IFERROR(S18/$D18,0)</f>
        <v>19.563934426229508</v>
      </c>
      <c r="AJ18" s="82">
        <f t="shared" ref="AJ18:AJ21" si="31">SUM(X18:AI18)/12</f>
        <v>19.796994535519126</v>
      </c>
      <c r="AK18" s="89"/>
      <c r="AL18" s="89">
        <f t="shared" si="19"/>
        <v>237.56393442622951</v>
      </c>
    </row>
    <row r="19" spans="1:38" s="4" customFormat="1" ht="12" customHeight="1">
      <c r="A19" s="4" t="str">
        <f t="shared" si="4"/>
        <v>ROCKFORDRESIDENTIALEXTRYDG-RES</v>
      </c>
      <c r="B19" s="5" t="s">
        <v>53</v>
      </c>
      <c r="C19" s="5" t="s">
        <v>54</v>
      </c>
      <c r="D19" s="20">
        <v>19.25</v>
      </c>
      <c r="E19" s="20"/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3">
        <f t="shared" si="0"/>
        <v>0</v>
      </c>
      <c r="M19" s="20"/>
      <c r="N19" s="21">
        <v>9.6300000000000008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3">
        <f t="shared" si="1"/>
        <v>9.6300000000000008</v>
      </c>
      <c r="U19" s="23"/>
      <c r="V19" s="23">
        <f t="shared" si="5"/>
        <v>9.6300000000000008</v>
      </c>
      <c r="X19" s="22">
        <f t="shared" si="6"/>
        <v>0</v>
      </c>
      <c r="Y19" s="22">
        <f t="shared" si="20"/>
        <v>0</v>
      </c>
      <c r="Z19" s="22">
        <f t="shared" si="21"/>
        <v>0</v>
      </c>
      <c r="AA19" s="22">
        <f t="shared" si="22"/>
        <v>0</v>
      </c>
      <c r="AB19" s="22">
        <f t="shared" si="23"/>
        <v>0</v>
      </c>
      <c r="AC19" s="22">
        <f t="shared" si="24"/>
        <v>0</v>
      </c>
      <c r="AD19" s="22">
        <f t="shared" si="25"/>
        <v>0.50025974025974029</v>
      </c>
      <c r="AE19" s="22">
        <f t="shared" si="26"/>
        <v>0</v>
      </c>
      <c r="AF19" s="22">
        <f t="shared" si="27"/>
        <v>0</v>
      </c>
      <c r="AG19" s="22">
        <f t="shared" si="28"/>
        <v>0</v>
      </c>
      <c r="AH19" s="22">
        <f t="shared" si="29"/>
        <v>0</v>
      </c>
      <c r="AI19" s="22">
        <f t="shared" si="30"/>
        <v>0</v>
      </c>
      <c r="AJ19" s="82">
        <f t="shared" si="31"/>
        <v>4.1688311688311691E-2</v>
      </c>
      <c r="AK19" s="89"/>
      <c r="AL19" s="89">
        <f t="shared" si="19"/>
        <v>0.50025974025974029</v>
      </c>
    </row>
    <row r="20" spans="1:38" s="4" customFormat="1" ht="12" customHeight="1">
      <c r="A20" s="4" t="str">
        <f t="shared" si="4"/>
        <v>ROCKFORDRESIDENTIALOS-RES</v>
      </c>
      <c r="B20" s="5" t="s">
        <v>57</v>
      </c>
      <c r="C20" s="5" t="s">
        <v>58</v>
      </c>
      <c r="D20" s="20">
        <v>3.05</v>
      </c>
      <c r="E20" s="20"/>
      <c r="F20" s="21">
        <v>6.1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3">
        <f t="shared" si="0"/>
        <v>6.1</v>
      </c>
      <c r="M20" s="20"/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3">
        <f t="shared" si="1"/>
        <v>0</v>
      </c>
      <c r="U20" s="23"/>
      <c r="V20" s="23">
        <f t="shared" si="5"/>
        <v>6.1</v>
      </c>
      <c r="X20" s="22">
        <f t="shared" si="6"/>
        <v>2</v>
      </c>
      <c r="Y20" s="22">
        <f t="shared" si="20"/>
        <v>0</v>
      </c>
      <c r="Z20" s="22">
        <f t="shared" si="21"/>
        <v>0</v>
      </c>
      <c r="AA20" s="22">
        <f t="shared" si="22"/>
        <v>0</v>
      </c>
      <c r="AB20" s="22">
        <f t="shared" si="23"/>
        <v>0</v>
      </c>
      <c r="AC20" s="22">
        <f t="shared" si="24"/>
        <v>0</v>
      </c>
      <c r="AD20" s="22">
        <f t="shared" si="25"/>
        <v>0</v>
      </c>
      <c r="AE20" s="22">
        <f t="shared" si="26"/>
        <v>0</v>
      </c>
      <c r="AF20" s="22">
        <f t="shared" si="27"/>
        <v>0</v>
      </c>
      <c r="AG20" s="22">
        <f t="shared" si="28"/>
        <v>0</v>
      </c>
      <c r="AH20" s="22">
        <f t="shared" si="29"/>
        <v>0</v>
      </c>
      <c r="AI20" s="22">
        <f t="shared" si="30"/>
        <v>0</v>
      </c>
      <c r="AJ20" s="82">
        <f t="shared" si="31"/>
        <v>0.16666666666666666</v>
      </c>
      <c r="AK20" s="89"/>
      <c r="AL20" s="89">
        <f t="shared" si="19"/>
        <v>2</v>
      </c>
    </row>
    <row r="21" spans="1:38" s="4" customFormat="1" ht="12" customHeight="1">
      <c r="A21" s="4" t="str">
        <f t="shared" si="4"/>
        <v>ROCKFORDRESIDENTIALOW-RES</v>
      </c>
      <c r="B21" s="5" t="s">
        <v>59</v>
      </c>
      <c r="C21" s="5" t="s">
        <v>60</v>
      </c>
      <c r="D21" s="20">
        <v>3.05</v>
      </c>
      <c r="E21" s="20"/>
      <c r="F21" s="21">
        <v>6.1</v>
      </c>
      <c r="G21" s="21">
        <v>0</v>
      </c>
      <c r="H21" s="21">
        <v>3.05</v>
      </c>
      <c r="I21" s="21">
        <v>3.05</v>
      </c>
      <c r="J21" s="21">
        <v>3.05</v>
      </c>
      <c r="K21" s="21">
        <v>0</v>
      </c>
      <c r="L21" s="23">
        <f t="shared" si="0"/>
        <v>15.25</v>
      </c>
      <c r="M21" s="20"/>
      <c r="N21" s="21">
        <v>3.05</v>
      </c>
      <c r="O21" s="21">
        <v>0</v>
      </c>
      <c r="P21" s="21">
        <v>0</v>
      </c>
      <c r="Q21" s="21">
        <v>0</v>
      </c>
      <c r="R21" s="21">
        <v>6.1</v>
      </c>
      <c r="S21" s="21">
        <v>0</v>
      </c>
      <c r="T21" s="23">
        <f t="shared" si="1"/>
        <v>9.1499999999999986</v>
      </c>
      <c r="U21" s="23"/>
      <c r="V21" s="23">
        <f t="shared" si="5"/>
        <v>24.4</v>
      </c>
      <c r="X21" s="22">
        <f t="shared" si="6"/>
        <v>2</v>
      </c>
      <c r="Y21" s="22">
        <f t="shared" si="20"/>
        <v>0</v>
      </c>
      <c r="Z21" s="22">
        <f t="shared" si="21"/>
        <v>1</v>
      </c>
      <c r="AA21" s="22">
        <f t="shared" si="22"/>
        <v>1</v>
      </c>
      <c r="AB21" s="22">
        <f t="shared" si="23"/>
        <v>1</v>
      </c>
      <c r="AC21" s="22">
        <f t="shared" si="24"/>
        <v>0</v>
      </c>
      <c r="AD21" s="22">
        <f t="shared" si="25"/>
        <v>1</v>
      </c>
      <c r="AE21" s="22">
        <f t="shared" si="26"/>
        <v>0</v>
      </c>
      <c r="AF21" s="22">
        <f t="shared" si="27"/>
        <v>0</v>
      </c>
      <c r="AG21" s="22">
        <f t="shared" si="28"/>
        <v>0</v>
      </c>
      <c r="AH21" s="22">
        <f t="shared" si="29"/>
        <v>2</v>
      </c>
      <c r="AI21" s="22">
        <f t="shared" si="30"/>
        <v>0</v>
      </c>
      <c r="AJ21" s="82">
        <f t="shared" si="31"/>
        <v>0.66666666666666663</v>
      </c>
      <c r="AK21" s="89"/>
      <c r="AL21" s="89">
        <f>SUM(X21:AI21)</f>
        <v>8</v>
      </c>
    </row>
    <row r="22" spans="1:38" s="4" customFormat="1" ht="12" customHeight="1">
      <c r="A22" s="4" t="str">
        <f t="shared" si="4"/>
        <v>ROCKFORDRESIDENTIALDRIVEIN1-RES</v>
      </c>
      <c r="B22" s="5" t="s">
        <v>507</v>
      </c>
      <c r="C22" s="5" t="s">
        <v>508</v>
      </c>
      <c r="D22" s="20">
        <v>5.4</v>
      </c>
      <c r="E22" s="20"/>
      <c r="F22" s="21">
        <v>5.4</v>
      </c>
      <c r="G22" s="21">
        <v>5.4</v>
      </c>
      <c r="H22" s="21">
        <v>5.4</v>
      </c>
      <c r="I22" s="21">
        <v>5.4</v>
      </c>
      <c r="J22" s="21">
        <v>5.4</v>
      </c>
      <c r="K22" s="21">
        <v>5.4</v>
      </c>
      <c r="L22" s="23">
        <f t="shared" si="0"/>
        <v>32.4</v>
      </c>
      <c r="M22" s="20"/>
      <c r="N22" s="21">
        <v>5.4</v>
      </c>
      <c r="O22" s="21">
        <v>5.4</v>
      </c>
      <c r="P22" s="21">
        <v>5.4</v>
      </c>
      <c r="Q22" s="21">
        <v>5.4</v>
      </c>
      <c r="R22" s="21">
        <v>5.4</v>
      </c>
      <c r="S22" s="21">
        <v>5.4</v>
      </c>
      <c r="T22" s="23">
        <f t="shared" si="1"/>
        <v>32.4</v>
      </c>
      <c r="U22" s="23"/>
      <c r="V22" s="23">
        <f t="shared" si="5"/>
        <v>64.8</v>
      </c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5"/>
    </row>
    <row r="23" spans="1:38" s="4" customFormat="1" ht="12" customHeight="1" thickBot="1">
      <c r="B23" s="24"/>
      <c r="C23" s="24"/>
      <c r="D23" s="20"/>
      <c r="E23" s="20"/>
      <c r="F23" s="22"/>
      <c r="G23" s="22"/>
      <c r="H23" s="22"/>
      <c r="I23" s="22"/>
      <c r="J23" s="22"/>
      <c r="K23" s="22"/>
      <c r="L23" s="23"/>
      <c r="M23" s="20"/>
      <c r="N23" s="22"/>
      <c r="O23" s="22"/>
      <c r="P23" s="22"/>
      <c r="Q23" s="22"/>
      <c r="R23" s="22"/>
      <c r="S23" s="22"/>
      <c r="T23" s="23"/>
      <c r="U23" s="23"/>
      <c r="V23" s="23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5"/>
    </row>
    <row r="24" spans="1:38" s="2" customFormat="1" ht="12" customHeight="1" thickBot="1">
      <c r="B24" s="25"/>
      <c r="C24" s="26" t="s">
        <v>8</v>
      </c>
      <c r="D24" s="20"/>
      <c r="E24" s="20"/>
      <c r="F24" s="27">
        <f t="shared" ref="F24:L24" si="32">SUM(F12:F23)</f>
        <v>3501.85</v>
      </c>
      <c r="G24" s="27">
        <f t="shared" si="32"/>
        <v>3462.2000000000003</v>
      </c>
      <c r="H24" s="27">
        <f t="shared" si="32"/>
        <v>3479.9800000000005</v>
      </c>
      <c r="I24" s="27">
        <f t="shared" si="32"/>
        <v>3448.1000000000004</v>
      </c>
      <c r="J24" s="27">
        <f t="shared" si="32"/>
        <v>3404.8500000000004</v>
      </c>
      <c r="K24" s="27">
        <f t="shared" si="32"/>
        <v>3398.11</v>
      </c>
      <c r="L24" s="27">
        <f t="shared" si="32"/>
        <v>20695.090000000004</v>
      </c>
      <c r="M24" s="20"/>
      <c r="N24" s="27">
        <f t="shared" ref="N24:T24" si="33">SUM(N12:N23)</f>
        <v>3382.3800000000006</v>
      </c>
      <c r="O24" s="27">
        <f t="shared" si="33"/>
        <v>3312.25</v>
      </c>
      <c r="P24" s="27">
        <f t="shared" si="33"/>
        <v>3345.8</v>
      </c>
      <c r="Q24" s="27">
        <f t="shared" si="33"/>
        <v>3358.88</v>
      </c>
      <c r="R24" s="27">
        <f t="shared" si="33"/>
        <v>3404.35</v>
      </c>
      <c r="S24" s="27">
        <f t="shared" si="33"/>
        <v>3413.28</v>
      </c>
      <c r="T24" s="27">
        <f t="shared" si="33"/>
        <v>20216.940000000006</v>
      </c>
      <c r="U24" s="43"/>
      <c r="V24" s="27">
        <f>SUM(V12:V23)</f>
        <v>40912.03</v>
      </c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85">
        <f>SUM(AJ12:AJ17)</f>
        <v>168.18761627906977</v>
      </c>
    </row>
    <row r="25" spans="1:38" s="4" customFormat="1" ht="12" customHeight="1">
      <c r="D25" s="20"/>
      <c r="E25" s="20"/>
      <c r="H25" s="2"/>
      <c r="L25" s="23"/>
      <c r="M25" s="20"/>
      <c r="P25" s="2"/>
      <c r="T25" s="23"/>
      <c r="U25" s="23"/>
      <c r="V25" s="23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5"/>
    </row>
    <row r="26" spans="1:38" ht="12" customHeight="1">
      <c r="B26" s="33" t="s">
        <v>11</v>
      </c>
      <c r="C26" s="33" t="s">
        <v>11</v>
      </c>
    </row>
    <row r="27" spans="1:38" ht="12" customHeight="1">
      <c r="B27" s="33"/>
      <c r="C27" s="33"/>
    </row>
    <row r="28" spans="1:38" s="4" customFormat="1" ht="12" customHeight="1">
      <c r="B28" s="19" t="s">
        <v>12</v>
      </c>
      <c r="C28" s="19" t="s">
        <v>12</v>
      </c>
      <c r="D28" s="20"/>
      <c r="E28" s="20"/>
      <c r="L28" s="23"/>
      <c r="M28" s="20"/>
      <c r="T28" s="23"/>
      <c r="U28" s="23"/>
      <c r="V28" s="23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5"/>
    </row>
    <row r="29" spans="1:38" s="4" customFormat="1" ht="12" customHeight="1">
      <c r="A29" s="4" t="str">
        <f>"ROCKFORD"&amp;"COMMERCIAL"&amp;B29</f>
        <v>ROCKFORDCOMMERCIALRL001.0Y1W001</v>
      </c>
      <c r="B29" s="5" t="s">
        <v>67</v>
      </c>
      <c r="C29" s="5" t="s">
        <v>68</v>
      </c>
      <c r="D29" s="20">
        <v>60.2</v>
      </c>
      <c r="E29" s="20"/>
      <c r="F29" s="21">
        <v>301</v>
      </c>
      <c r="G29" s="21">
        <v>301</v>
      </c>
      <c r="H29" s="21">
        <v>301</v>
      </c>
      <c r="I29" s="21">
        <v>301</v>
      </c>
      <c r="J29" s="21">
        <v>301</v>
      </c>
      <c r="K29" s="21">
        <v>301</v>
      </c>
      <c r="L29" s="23">
        <f t="shared" ref="L29:L45" si="34">SUM(F29:K29)</f>
        <v>1806</v>
      </c>
      <c r="M29" s="20"/>
      <c r="N29" s="21">
        <v>301</v>
      </c>
      <c r="O29" s="21">
        <v>301</v>
      </c>
      <c r="P29" s="21">
        <v>301</v>
      </c>
      <c r="Q29" s="21">
        <v>301</v>
      </c>
      <c r="R29" s="21">
        <v>301</v>
      </c>
      <c r="S29" s="21">
        <v>301</v>
      </c>
      <c r="T29" s="23">
        <f t="shared" ref="T29:T36" si="35">SUM(N29:S29)</f>
        <v>1806</v>
      </c>
      <c r="U29" s="23"/>
      <c r="V29" s="23">
        <f t="shared" ref="V29:V45" si="36">L29+T29</f>
        <v>3612</v>
      </c>
      <c r="X29" s="22">
        <f t="shared" ref="X29:X34" si="37">IFERROR(F29/$D29,0)</f>
        <v>5</v>
      </c>
      <c r="Y29" s="22">
        <f t="shared" ref="Y29:Y34" si="38">IFERROR(G29/$D29,0)</f>
        <v>5</v>
      </c>
      <c r="Z29" s="22">
        <f t="shared" ref="Z29:Z34" si="39">IFERROR(H29/$D29,0)</f>
        <v>5</v>
      </c>
      <c r="AA29" s="22">
        <f t="shared" ref="AA29:AA34" si="40">IFERROR(I29/$D29,0)</f>
        <v>5</v>
      </c>
      <c r="AB29" s="22">
        <f t="shared" ref="AB29:AB34" si="41">IFERROR(J29/$D29,0)</f>
        <v>5</v>
      </c>
      <c r="AC29" s="22">
        <f t="shared" ref="AC29:AC34" si="42">IFERROR(K29/$D29,0)</f>
        <v>5</v>
      </c>
      <c r="AD29" s="22">
        <f t="shared" ref="AD29:AD34" si="43">IFERROR(N29/$D29,0)</f>
        <v>5</v>
      </c>
      <c r="AE29" s="22">
        <f t="shared" ref="AE29:AE34" si="44">IFERROR(O29/$D29,0)</f>
        <v>5</v>
      </c>
      <c r="AF29" s="22">
        <f t="shared" ref="AF29:AF34" si="45">IFERROR(P29/$D29,0)</f>
        <v>5</v>
      </c>
      <c r="AG29" s="22">
        <f t="shared" ref="AG29:AG34" si="46">IFERROR(Q29/$D29,0)</f>
        <v>5</v>
      </c>
      <c r="AH29" s="22">
        <f t="shared" ref="AH29:AH34" si="47">IFERROR(R29/$D29,0)</f>
        <v>5</v>
      </c>
      <c r="AI29" s="22">
        <f t="shared" ref="AI29:AI34" si="48">IFERROR(S29/$D29,0)</f>
        <v>5</v>
      </c>
      <c r="AJ29" s="82">
        <f t="shared" ref="AJ29:AJ34" si="49">SUM(X29:AI29)/12</f>
        <v>5</v>
      </c>
      <c r="AK29" s="89">
        <f>+AJ29</f>
        <v>5</v>
      </c>
      <c r="AL29" s="89">
        <f t="shared" ref="AL29:AL39" si="50">SUM(X29:AI29)</f>
        <v>60</v>
      </c>
    </row>
    <row r="30" spans="1:38" s="4" customFormat="1" ht="12" customHeight="1">
      <c r="A30" s="4" t="str">
        <f t="shared" ref="A30:A45" si="51">"ROCKFORD"&amp;"COMMERCIAL"&amp;B30</f>
        <v>ROCKFORDCOMMERCIALRL001.5Y1W001</v>
      </c>
      <c r="B30" s="5" t="s">
        <v>69</v>
      </c>
      <c r="C30" s="5" t="s">
        <v>70</v>
      </c>
      <c r="D30" s="20">
        <v>90.3</v>
      </c>
      <c r="E30" s="20"/>
      <c r="F30" s="21">
        <v>90.3</v>
      </c>
      <c r="G30" s="21">
        <v>90.3</v>
      </c>
      <c r="H30" s="21">
        <v>90.3</v>
      </c>
      <c r="I30" s="21">
        <v>90.3</v>
      </c>
      <c r="J30" s="21">
        <v>90.3</v>
      </c>
      <c r="K30" s="21">
        <v>90.3</v>
      </c>
      <c r="L30" s="23">
        <f t="shared" si="34"/>
        <v>541.79999999999995</v>
      </c>
      <c r="M30" s="20"/>
      <c r="N30" s="21">
        <v>90.3</v>
      </c>
      <c r="O30" s="21">
        <v>90.3</v>
      </c>
      <c r="P30" s="21">
        <v>90.3</v>
      </c>
      <c r="Q30" s="21">
        <v>90.3</v>
      </c>
      <c r="R30" s="21">
        <v>135.44999999999999</v>
      </c>
      <c r="S30" s="21">
        <v>180.6</v>
      </c>
      <c r="T30" s="23">
        <f t="shared" si="35"/>
        <v>677.25</v>
      </c>
      <c r="U30" s="23"/>
      <c r="V30" s="23">
        <f t="shared" si="36"/>
        <v>1219.05</v>
      </c>
      <c r="X30" s="22">
        <f t="shared" si="37"/>
        <v>1</v>
      </c>
      <c r="Y30" s="22">
        <f t="shared" si="38"/>
        <v>1</v>
      </c>
      <c r="Z30" s="22">
        <f t="shared" si="39"/>
        <v>1</v>
      </c>
      <c r="AA30" s="22">
        <f t="shared" si="40"/>
        <v>1</v>
      </c>
      <c r="AB30" s="22">
        <f t="shared" si="41"/>
        <v>1</v>
      </c>
      <c r="AC30" s="22">
        <f t="shared" si="42"/>
        <v>1</v>
      </c>
      <c r="AD30" s="22">
        <f t="shared" si="43"/>
        <v>1</v>
      </c>
      <c r="AE30" s="22">
        <f t="shared" si="44"/>
        <v>1</v>
      </c>
      <c r="AF30" s="22">
        <f t="shared" si="45"/>
        <v>1</v>
      </c>
      <c r="AG30" s="22">
        <f t="shared" si="46"/>
        <v>1</v>
      </c>
      <c r="AH30" s="22">
        <f t="shared" si="47"/>
        <v>1.5</v>
      </c>
      <c r="AI30" s="22">
        <f t="shared" si="48"/>
        <v>2</v>
      </c>
      <c r="AJ30" s="82">
        <f t="shared" si="49"/>
        <v>1.125</v>
      </c>
      <c r="AK30" s="89">
        <f>+AJ30</f>
        <v>1.125</v>
      </c>
      <c r="AL30" s="89">
        <f t="shared" si="50"/>
        <v>13.5</v>
      </c>
    </row>
    <row r="31" spans="1:38" s="4" customFormat="1" ht="12" customHeight="1">
      <c r="A31" s="4" t="str">
        <f t="shared" si="51"/>
        <v>ROCKFORDCOMMERCIALRL002.0Y1W001</v>
      </c>
      <c r="B31" s="5" t="s">
        <v>73</v>
      </c>
      <c r="C31" s="5" t="s">
        <v>74</v>
      </c>
      <c r="D31" s="20">
        <v>120.35</v>
      </c>
      <c r="E31" s="20"/>
      <c r="F31" s="21">
        <v>481.4</v>
      </c>
      <c r="G31" s="21">
        <v>481.4</v>
      </c>
      <c r="H31" s="21">
        <v>481.4</v>
      </c>
      <c r="I31" s="21">
        <v>481.4</v>
      </c>
      <c r="J31" s="21">
        <v>481.4</v>
      </c>
      <c r="K31" s="21">
        <v>481.4</v>
      </c>
      <c r="L31" s="23">
        <f t="shared" si="34"/>
        <v>2888.4</v>
      </c>
      <c r="M31" s="20"/>
      <c r="N31" s="21">
        <v>481.4</v>
      </c>
      <c r="O31" s="21">
        <v>481.4</v>
      </c>
      <c r="P31" s="21">
        <v>481.4</v>
      </c>
      <c r="Q31" s="21">
        <v>481.4</v>
      </c>
      <c r="R31" s="21">
        <v>421.23</v>
      </c>
      <c r="S31" s="21">
        <v>481.4</v>
      </c>
      <c r="T31" s="23">
        <f t="shared" si="35"/>
        <v>2828.23</v>
      </c>
      <c r="U31" s="23"/>
      <c r="V31" s="23">
        <f t="shared" si="36"/>
        <v>5716.63</v>
      </c>
      <c r="X31" s="22">
        <f t="shared" si="37"/>
        <v>4</v>
      </c>
      <c r="Y31" s="22">
        <f t="shared" si="38"/>
        <v>4</v>
      </c>
      <c r="Z31" s="22">
        <f t="shared" si="39"/>
        <v>4</v>
      </c>
      <c r="AA31" s="22">
        <f t="shared" si="40"/>
        <v>4</v>
      </c>
      <c r="AB31" s="22">
        <f t="shared" si="41"/>
        <v>4</v>
      </c>
      <c r="AC31" s="22">
        <f t="shared" si="42"/>
        <v>4</v>
      </c>
      <c r="AD31" s="22">
        <f t="shared" si="43"/>
        <v>4</v>
      </c>
      <c r="AE31" s="22">
        <f t="shared" si="44"/>
        <v>4</v>
      </c>
      <c r="AF31" s="22">
        <f t="shared" si="45"/>
        <v>4</v>
      </c>
      <c r="AG31" s="22">
        <f t="shared" si="46"/>
        <v>4</v>
      </c>
      <c r="AH31" s="22">
        <f t="shared" si="47"/>
        <v>3.5000415454923144</v>
      </c>
      <c r="AI31" s="22">
        <f t="shared" si="48"/>
        <v>4</v>
      </c>
      <c r="AJ31" s="82">
        <f t="shared" si="49"/>
        <v>3.9583367954576931</v>
      </c>
      <c r="AK31" s="89">
        <f>+AJ31</f>
        <v>3.9583367954576931</v>
      </c>
      <c r="AL31" s="89">
        <f t="shared" si="50"/>
        <v>47.500041545492316</v>
      </c>
    </row>
    <row r="32" spans="1:38" s="4" customFormat="1" ht="12" customHeight="1">
      <c r="A32" s="4" t="str">
        <f t="shared" si="51"/>
        <v>ROCKFORDCOMMERCIALRL003.0Y1W001</v>
      </c>
      <c r="B32" s="5" t="s">
        <v>75</v>
      </c>
      <c r="C32" s="5" t="s">
        <v>76</v>
      </c>
      <c r="D32" s="20">
        <v>180.6</v>
      </c>
      <c r="E32" s="20"/>
      <c r="F32" s="21">
        <v>541.79999999999995</v>
      </c>
      <c r="G32" s="21">
        <v>541.79999999999995</v>
      </c>
      <c r="H32" s="21">
        <v>541.79999999999995</v>
      </c>
      <c r="I32" s="21">
        <v>541.79999999999995</v>
      </c>
      <c r="J32" s="21">
        <v>541.79999999999995</v>
      </c>
      <c r="K32" s="21">
        <v>541.79999999999995</v>
      </c>
      <c r="L32" s="23">
        <f t="shared" si="34"/>
        <v>3250.8</v>
      </c>
      <c r="M32" s="20"/>
      <c r="N32" s="21">
        <v>541.79999999999995</v>
      </c>
      <c r="O32" s="21">
        <v>541.79999999999995</v>
      </c>
      <c r="P32" s="21">
        <v>541.79999999999995</v>
      </c>
      <c r="Q32" s="21">
        <v>361.2</v>
      </c>
      <c r="R32" s="21">
        <v>361.2</v>
      </c>
      <c r="S32" s="21">
        <v>361.2</v>
      </c>
      <c r="T32" s="23">
        <f t="shared" si="35"/>
        <v>2708.9999999999995</v>
      </c>
      <c r="U32" s="23"/>
      <c r="V32" s="23">
        <f t="shared" si="36"/>
        <v>5959.7999999999993</v>
      </c>
      <c r="X32" s="22">
        <f t="shared" si="37"/>
        <v>3</v>
      </c>
      <c r="Y32" s="22">
        <f t="shared" si="38"/>
        <v>3</v>
      </c>
      <c r="Z32" s="22">
        <f t="shared" si="39"/>
        <v>3</v>
      </c>
      <c r="AA32" s="22">
        <f t="shared" si="40"/>
        <v>3</v>
      </c>
      <c r="AB32" s="22">
        <f t="shared" si="41"/>
        <v>3</v>
      </c>
      <c r="AC32" s="22">
        <f t="shared" si="42"/>
        <v>3</v>
      </c>
      <c r="AD32" s="22">
        <f t="shared" si="43"/>
        <v>3</v>
      </c>
      <c r="AE32" s="22">
        <f t="shared" si="44"/>
        <v>3</v>
      </c>
      <c r="AF32" s="22">
        <f t="shared" si="45"/>
        <v>3</v>
      </c>
      <c r="AG32" s="22">
        <f t="shared" si="46"/>
        <v>2</v>
      </c>
      <c r="AH32" s="22">
        <f t="shared" si="47"/>
        <v>2</v>
      </c>
      <c r="AI32" s="22">
        <f t="shared" si="48"/>
        <v>2</v>
      </c>
      <c r="AJ32" s="82">
        <f t="shared" si="49"/>
        <v>2.75</v>
      </c>
      <c r="AK32" s="89">
        <f>+AJ32</f>
        <v>2.75</v>
      </c>
      <c r="AL32" s="89">
        <f t="shared" si="50"/>
        <v>33</v>
      </c>
    </row>
    <row r="33" spans="1:38" s="4" customFormat="1" ht="12" customHeight="1">
      <c r="A33" s="4" t="str">
        <f t="shared" si="51"/>
        <v>ROCKFORDCOMMERCIALRL032.0G1W001COMM</v>
      </c>
      <c r="B33" s="5" t="s">
        <v>87</v>
      </c>
      <c r="C33" s="5" t="s">
        <v>88</v>
      </c>
      <c r="D33" s="20">
        <v>15.4</v>
      </c>
      <c r="E33" s="20"/>
      <c r="F33" s="21">
        <v>15.4</v>
      </c>
      <c r="G33" s="21">
        <v>15.4</v>
      </c>
      <c r="H33" s="21">
        <v>15.4</v>
      </c>
      <c r="I33" s="21">
        <v>15.4</v>
      </c>
      <c r="J33" s="21">
        <v>15.4</v>
      </c>
      <c r="K33" s="21">
        <v>15.4</v>
      </c>
      <c r="L33" s="23">
        <f t="shared" si="34"/>
        <v>92.4</v>
      </c>
      <c r="M33" s="20"/>
      <c r="N33" s="21">
        <v>15.4</v>
      </c>
      <c r="O33" s="21">
        <v>15.4</v>
      </c>
      <c r="P33" s="21">
        <v>15.4</v>
      </c>
      <c r="Q33" s="21">
        <v>15.4</v>
      </c>
      <c r="R33" s="21">
        <v>15.4</v>
      </c>
      <c r="S33" s="21">
        <v>15.4</v>
      </c>
      <c r="T33" s="23">
        <f t="shared" si="35"/>
        <v>92.4</v>
      </c>
      <c r="U33" s="23"/>
      <c r="V33" s="23">
        <f t="shared" si="36"/>
        <v>184.8</v>
      </c>
      <c r="X33" s="22">
        <f t="shared" si="37"/>
        <v>1</v>
      </c>
      <c r="Y33" s="22">
        <f t="shared" si="38"/>
        <v>1</v>
      </c>
      <c r="Z33" s="22">
        <f t="shared" si="39"/>
        <v>1</v>
      </c>
      <c r="AA33" s="22">
        <f t="shared" si="40"/>
        <v>1</v>
      </c>
      <c r="AB33" s="22">
        <f t="shared" si="41"/>
        <v>1</v>
      </c>
      <c r="AC33" s="22">
        <f t="shared" si="42"/>
        <v>1</v>
      </c>
      <c r="AD33" s="22">
        <f t="shared" si="43"/>
        <v>1</v>
      </c>
      <c r="AE33" s="22">
        <f t="shared" si="44"/>
        <v>1</v>
      </c>
      <c r="AF33" s="22">
        <f t="shared" si="45"/>
        <v>1</v>
      </c>
      <c r="AG33" s="22">
        <f t="shared" si="46"/>
        <v>1</v>
      </c>
      <c r="AH33" s="22">
        <f t="shared" si="47"/>
        <v>1</v>
      </c>
      <c r="AI33" s="22">
        <f t="shared" si="48"/>
        <v>1</v>
      </c>
      <c r="AJ33" s="82">
        <f t="shared" si="49"/>
        <v>1</v>
      </c>
      <c r="AK33" s="89">
        <v>0</v>
      </c>
      <c r="AL33" s="89">
        <f t="shared" si="50"/>
        <v>12</v>
      </c>
    </row>
    <row r="34" spans="1:38" s="4" customFormat="1" ht="12" customHeight="1">
      <c r="A34" s="4" t="str">
        <f t="shared" si="51"/>
        <v>ROCKFORDCOMMERCIALRL090.0G1W001COMM</v>
      </c>
      <c r="B34" s="5" t="s">
        <v>93</v>
      </c>
      <c r="C34" s="5" t="s">
        <v>94</v>
      </c>
      <c r="D34" s="20">
        <v>21.5</v>
      </c>
      <c r="E34" s="20"/>
      <c r="F34" s="21">
        <v>150.5</v>
      </c>
      <c r="G34" s="21">
        <v>150.5</v>
      </c>
      <c r="H34" s="21">
        <v>150.5</v>
      </c>
      <c r="I34" s="21">
        <v>150.5</v>
      </c>
      <c r="J34" s="21">
        <v>150.5</v>
      </c>
      <c r="K34" s="21">
        <v>150.5</v>
      </c>
      <c r="L34" s="23">
        <f t="shared" si="34"/>
        <v>903</v>
      </c>
      <c r="M34" s="20"/>
      <c r="N34" s="21">
        <v>150.5</v>
      </c>
      <c r="O34" s="21">
        <v>150.5</v>
      </c>
      <c r="P34" s="21">
        <v>150.5</v>
      </c>
      <c r="Q34" s="21">
        <v>172</v>
      </c>
      <c r="R34" s="21">
        <v>172</v>
      </c>
      <c r="S34" s="21">
        <v>129</v>
      </c>
      <c r="T34" s="23">
        <f t="shared" si="35"/>
        <v>924.5</v>
      </c>
      <c r="U34" s="23"/>
      <c r="V34" s="23">
        <f t="shared" si="36"/>
        <v>1827.5</v>
      </c>
      <c r="X34" s="22">
        <f t="shared" si="37"/>
        <v>7</v>
      </c>
      <c r="Y34" s="22">
        <f t="shared" si="38"/>
        <v>7</v>
      </c>
      <c r="Z34" s="22">
        <f t="shared" si="39"/>
        <v>7</v>
      </c>
      <c r="AA34" s="22">
        <f t="shared" si="40"/>
        <v>7</v>
      </c>
      <c r="AB34" s="22">
        <f t="shared" si="41"/>
        <v>7</v>
      </c>
      <c r="AC34" s="22">
        <f t="shared" si="42"/>
        <v>7</v>
      </c>
      <c r="AD34" s="22">
        <f t="shared" si="43"/>
        <v>7</v>
      </c>
      <c r="AE34" s="22">
        <f t="shared" si="44"/>
        <v>7</v>
      </c>
      <c r="AF34" s="22">
        <f t="shared" si="45"/>
        <v>7</v>
      </c>
      <c r="AG34" s="22">
        <f t="shared" si="46"/>
        <v>8</v>
      </c>
      <c r="AH34" s="22">
        <f t="shared" si="47"/>
        <v>8</v>
      </c>
      <c r="AI34" s="22">
        <f t="shared" si="48"/>
        <v>6</v>
      </c>
      <c r="AJ34" s="82">
        <f t="shared" si="49"/>
        <v>7.083333333333333</v>
      </c>
      <c r="AK34" s="89">
        <f>+AJ34</f>
        <v>7.083333333333333</v>
      </c>
      <c r="AL34" s="89">
        <f t="shared" si="50"/>
        <v>85</v>
      </c>
    </row>
    <row r="35" spans="1:38" s="4" customFormat="1" ht="12" customHeight="1">
      <c r="A35" s="4" t="str">
        <f t="shared" si="51"/>
        <v>ROCKFORDCOMMERCIALEXTRA-COMM</v>
      </c>
      <c r="B35" s="5" t="s">
        <v>111</v>
      </c>
      <c r="C35" s="5" t="s">
        <v>112</v>
      </c>
      <c r="D35" s="20">
        <v>3.05</v>
      </c>
      <c r="E35" s="20"/>
      <c r="F35" s="21">
        <v>18.3</v>
      </c>
      <c r="G35" s="21">
        <v>0</v>
      </c>
      <c r="H35" s="21">
        <v>6.1</v>
      </c>
      <c r="I35" s="21">
        <v>9.15</v>
      </c>
      <c r="J35" s="21">
        <v>0</v>
      </c>
      <c r="K35" s="21">
        <v>10.67</v>
      </c>
      <c r="L35" s="23">
        <f t="shared" si="34"/>
        <v>44.22</v>
      </c>
      <c r="M35" s="20"/>
      <c r="N35" s="21">
        <v>15.25</v>
      </c>
      <c r="O35" s="21">
        <v>9.15</v>
      </c>
      <c r="P35" s="21">
        <v>9.15</v>
      </c>
      <c r="Q35" s="21">
        <v>12.2</v>
      </c>
      <c r="R35" s="21">
        <v>12.2</v>
      </c>
      <c r="S35" s="21">
        <v>15.25</v>
      </c>
      <c r="T35" s="23">
        <f t="shared" si="35"/>
        <v>73.2</v>
      </c>
      <c r="U35" s="23"/>
      <c r="V35" s="23">
        <f t="shared" si="36"/>
        <v>117.42</v>
      </c>
      <c r="X35" s="22">
        <f t="shared" ref="X35:X39" si="52">IFERROR(F35/$D35,0)</f>
        <v>6.0000000000000009</v>
      </c>
      <c r="Y35" s="22">
        <f t="shared" ref="Y35:Y39" si="53">IFERROR(G35/$D35,0)</f>
        <v>0</v>
      </c>
      <c r="Z35" s="22">
        <f t="shared" ref="Z35:Z39" si="54">IFERROR(H35/$D35,0)</f>
        <v>2</v>
      </c>
      <c r="AA35" s="22">
        <f t="shared" ref="AA35:AA39" si="55">IFERROR(I35/$D35,0)</f>
        <v>3.0000000000000004</v>
      </c>
      <c r="AB35" s="22">
        <f t="shared" ref="AB35:AB39" si="56">IFERROR(J35/$D35,0)</f>
        <v>0</v>
      </c>
      <c r="AC35" s="22">
        <f t="shared" ref="AC35:AC39" si="57">IFERROR(K35/$D35,0)</f>
        <v>3.4983606557377049</v>
      </c>
      <c r="AD35" s="22">
        <f t="shared" ref="AD35:AD39" si="58">IFERROR(N35/$D35,0)</f>
        <v>5</v>
      </c>
      <c r="AE35" s="22">
        <f t="shared" ref="AE35:AE39" si="59">IFERROR(O35/$D35,0)</f>
        <v>3.0000000000000004</v>
      </c>
      <c r="AF35" s="22">
        <f t="shared" ref="AF35:AF39" si="60">IFERROR(P35/$D35,0)</f>
        <v>3.0000000000000004</v>
      </c>
      <c r="AG35" s="22">
        <f t="shared" ref="AG35:AG39" si="61">IFERROR(Q35/$D35,0)</f>
        <v>4</v>
      </c>
      <c r="AH35" s="22">
        <f t="shared" ref="AH35:AH39" si="62">IFERROR(R35/$D35,0)</f>
        <v>4</v>
      </c>
      <c r="AI35" s="22">
        <f t="shared" ref="AI35:AI39" si="63">IFERROR(S35/$D35,0)</f>
        <v>5</v>
      </c>
      <c r="AJ35" s="82">
        <f t="shared" ref="AJ35:AJ39" si="64">SUM(X35:AI35)/12</f>
        <v>3.2081967213114755</v>
      </c>
      <c r="AK35" s="89"/>
      <c r="AL35" s="89">
        <f t="shared" si="50"/>
        <v>38.498360655737706</v>
      </c>
    </row>
    <row r="36" spans="1:38" s="4" customFormat="1" ht="12" customHeight="1">
      <c r="A36" s="4" t="str">
        <f t="shared" si="51"/>
        <v>ROCKFORDCOMMERCIALRL1TC-COMM</v>
      </c>
      <c r="B36" s="5" t="s">
        <v>209</v>
      </c>
      <c r="C36" s="5" t="s">
        <v>210</v>
      </c>
      <c r="D36" s="20"/>
      <c r="E36" s="20"/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3">
        <f t="shared" si="34"/>
        <v>0</v>
      </c>
      <c r="M36" s="20"/>
      <c r="N36" s="21">
        <v>0</v>
      </c>
      <c r="O36" s="21">
        <v>0</v>
      </c>
      <c r="P36" s="21">
        <v>0</v>
      </c>
      <c r="Q36" s="21">
        <v>0</v>
      </c>
      <c r="R36" s="21">
        <v>20.420000000000002</v>
      </c>
      <c r="S36" s="21">
        <v>0</v>
      </c>
      <c r="T36" s="23">
        <f t="shared" si="35"/>
        <v>20.420000000000002</v>
      </c>
      <c r="U36" s="23"/>
      <c r="V36" s="23">
        <f t="shared" si="36"/>
        <v>20.420000000000002</v>
      </c>
      <c r="X36" s="22">
        <f t="shared" si="52"/>
        <v>0</v>
      </c>
      <c r="Y36" s="22">
        <f t="shared" si="53"/>
        <v>0</v>
      </c>
      <c r="Z36" s="22">
        <f t="shared" si="54"/>
        <v>0</v>
      </c>
      <c r="AA36" s="22">
        <f t="shared" si="55"/>
        <v>0</v>
      </c>
      <c r="AB36" s="22">
        <f t="shared" si="56"/>
        <v>0</v>
      </c>
      <c r="AC36" s="22">
        <f t="shared" si="57"/>
        <v>0</v>
      </c>
      <c r="AD36" s="22">
        <f t="shared" si="58"/>
        <v>0</v>
      </c>
      <c r="AE36" s="22">
        <f t="shared" si="59"/>
        <v>0</v>
      </c>
      <c r="AF36" s="22">
        <f t="shared" si="60"/>
        <v>0</v>
      </c>
      <c r="AG36" s="22">
        <f t="shared" si="61"/>
        <v>0</v>
      </c>
      <c r="AH36" s="22">
        <f t="shared" si="62"/>
        <v>0</v>
      </c>
      <c r="AI36" s="22">
        <f t="shared" si="63"/>
        <v>0</v>
      </c>
      <c r="AJ36" s="82">
        <f t="shared" si="64"/>
        <v>0</v>
      </c>
      <c r="AK36" s="89"/>
      <c r="AL36" s="89">
        <f t="shared" si="50"/>
        <v>0</v>
      </c>
    </row>
    <row r="37" spans="1:38" s="4" customFormat="1" ht="12" customHeight="1">
      <c r="A37" s="4" t="str">
        <f t="shared" si="51"/>
        <v>ROCKFORDCOMMERCIALRL1.5TC-COMM</v>
      </c>
      <c r="B37" s="5" t="s">
        <v>99</v>
      </c>
      <c r="C37" s="5" t="s">
        <v>100</v>
      </c>
      <c r="D37" s="20"/>
      <c r="E37" s="20"/>
      <c r="F37" s="21">
        <v>0</v>
      </c>
      <c r="G37" s="21">
        <v>0</v>
      </c>
      <c r="H37" s="21">
        <v>30.67</v>
      </c>
      <c r="I37" s="21">
        <v>0</v>
      </c>
      <c r="J37" s="21">
        <v>0</v>
      </c>
      <c r="K37" s="21">
        <v>0</v>
      </c>
      <c r="L37" s="23">
        <f t="shared" si="34"/>
        <v>30.67</v>
      </c>
      <c r="M37" s="20"/>
      <c r="N37" s="21"/>
      <c r="O37" s="21"/>
      <c r="P37" s="21"/>
      <c r="Q37" s="21"/>
      <c r="R37" s="21"/>
      <c r="S37" s="21"/>
      <c r="T37" s="23"/>
      <c r="U37" s="23"/>
      <c r="V37" s="23">
        <f t="shared" si="36"/>
        <v>30.67</v>
      </c>
      <c r="X37" s="22">
        <f t="shared" si="52"/>
        <v>0</v>
      </c>
      <c r="Y37" s="22">
        <f t="shared" si="53"/>
        <v>0</v>
      </c>
      <c r="Z37" s="22">
        <f t="shared" si="54"/>
        <v>0</v>
      </c>
      <c r="AA37" s="22">
        <f t="shared" si="55"/>
        <v>0</v>
      </c>
      <c r="AB37" s="22">
        <f t="shared" si="56"/>
        <v>0</v>
      </c>
      <c r="AC37" s="22">
        <f t="shared" si="57"/>
        <v>0</v>
      </c>
      <c r="AD37" s="22">
        <f t="shared" si="58"/>
        <v>0</v>
      </c>
      <c r="AE37" s="22">
        <f t="shared" si="59"/>
        <v>0</v>
      </c>
      <c r="AF37" s="22">
        <f t="shared" si="60"/>
        <v>0</v>
      </c>
      <c r="AG37" s="22">
        <f t="shared" si="61"/>
        <v>0</v>
      </c>
      <c r="AH37" s="22">
        <f t="shared" si="62"/>
        <v>0</v>
      </c>
      <c r="AI37" s="22">
        <f t="shared" si="63"/>
        <v>0</v>
      </c>
      <c r="AJ37" s="82">
        <f t="shared" si="64"/>
        <v>0</v>
      </c>
      <c r="AK37" s="89"/>
      <c r="AL37" s="89">
        <f t="shared" si="50"/>
        <v>0</v>
      </c>
    </row>
    <row r="38" spans="1:38" s="4" customFormat="1" ht="12" customHeight="1">
      <c r="A38" s="4" t="str">
        <f t="shared" si="51"/>
        <v>ROCKFORDCOMMERCIALRL4TC-COMM</v>
      </c>
      <c r="B38" s="5" t="s">
        <v>109</v>
      </c>
      <c r="C38" s="5" t="s">
        <v>110</v>
      </c>
      <c r="D38" s="20"/>
      <c r="E38" s="20"/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3">
        <f t="shared" si="34"/>
        <v>0</v>
      </c>
      <c r="M38" s="20"/>
      <c r="N38" s="21">
        <v>0</v>
      </c>
      <c r="O38" s="21">
        <v>0</v>
      </c>
      <c r="P38" s="21">
        <v>0</v>
      </c>
      <c r="Q38" s="21">
        <v>0</v>
      </c>
      <c r="R38" s="21">
        <v>147.97999999999999</v>
      </c>
      <c r="S38" s="21">
        <v>147.97999999999999</v>
      </c>
      <c r="T38" s="23">
        <f>SUM(N38:S38)</f>
        <v>295.95999999999998</v>
      </c>
      <c r="U38" s="23"/>
      <c r="V38" s="23">
        <f t="shared" si="36"/>
        <v>295.95999999999998</v>
      </c>
      <c r="X38" s="22">
        <f t="shared" si="52"/>
        <v>0</v>
      </c>
      <c r="Y38" s="22">
        <f t="shared" si="53"/>
        <v>0</v>
      </c>
      <c r="Z38" s="22">
        <f t="shared" si="54"/>
        <v>0</v>
      </c>
      <c r="AA38" s="22">
        <f t="shared" si="55"/>
        <v>0</v>
      </c>
      <c r="AB38" s="22">
        <f t="shared" si="56"/>
        <v>0</v>
      </c>
      <c r="AC38" s="22">
        <f t="shared" si="57"/>
        <v>0</v>
      </c>
      <c r="AD38" s="22">
        <f t="shared" si="58"/>
        <v>0</v>
      </c>
      <c r="AE38" s="22">
        <f t="shared" si="59"/>
        <v>0</v>
      </c>
      <c r="AF38" s="22">
        <f t="shared" si="60"/>
        <v>0</v>
      </c>
      <c r="AG38" s="22">
        <f t="shared" si="61"/>
        <v>0</v>
      </c>
      <c r="AH38" s="22">
        <f t="shared" si="62"/>
        <v>0</v>
      </c>
      <c r="AI38" s="22">
        <f t="shared" si="63"/>
        <v>0</v>
      </c>
      <c r="AJ38" s="82">
        <f t="shared" si="64"/>
        <v>0</v>
      </c>
      <c r="AK38" s="89"/>
      <c r="AL38" s="89">
        <f t="shared" si="50"/>
        <v>0</v>
      </c>
    </row>
    <row r="39" spans="1:38" s="4" customFormat="1" ht="12" customHeight="1">
      <c r="A39" s="4" t="str">
        <f t="shared" si="51"/>
        <v>ROCKFORDCOMMERCIALEXTRAYDG-COMM</v>
      </c>
      <c r="B39" s="5" t="s">
        <v>113</v>
      </c>
      <c r="C39" s="5" t="s">
        <v>114</v>
      </c>
      <c r="D39" s="20">
        <v>19.25</v>
      </c>
      <c r="E39" s="20"/>
      <c r="F39" s="21">
        <v>9.6300000000000008</v>
      </c>
      <c r="G39" s="21">
        <v>57.76</v>
      </c>
      <c r="H39" s="21">
        <v>48.14</v>
      </c>
      <c r="I39" s="21">
        <v>38.51</v>
      </c>
      <c r="J39" s="21">
        <v>28.88</v>
      </c>
      <c r="K39" s="21">
        <v>0</v>
      </c>
      <c r="L39" s="23">
        <f t="shared" si="34"/>
        <v>182.92</v>
      </c>
      <c r="M39" s="20"/>
      <c r="N39" s="21">
        <v>0</v>
      </c>
      <c r="O39" s="21">
        <v>0</v>
      </c>
      <c r="P39" s="21">
        <v>9.6300000000000008</v>
      </c>
      <c r="Q39" s="21">
        <v>0</v>
      </c>
      <c r="R39" s="21">
        <v>0</v>
      </c>
      <c r="S39" s="21">
        <v>0</v>
      </c>
      <c r="T39" s="23">
        <f>SUM(N39:S39)</f>
        <v>9.6300000000000008</v>
      </c>
      <c r="U39" s="23"/>
      <c r="V39" s="23">
        <f t="shared" si="36"/>
        <v>192.54999999999998</v>
      </c>
      <c r="X39" s="22">
        <f t="shared" si="52"/>
        <v>0.50025974025974029</v>
      </c>
      <c r="Y39" s="22">
        <f t="shared" si="53"/>
        <v>3.0005194805194804</v>
      </c>
      <c r="Z39" s="22">
        <f t="shared" si="54"/>
        <v>2.5007792207792208</v>
      </c>
      <c r="AA39" s="22">
        <f t="shared" si="55"/>
        <v>2.0005194805194804</v>
      </c>
      <c r="AB39" s="22">
        <f t="shared" si="56"/>
        <v>1.5002597402597402</v>
      </c>
      <c r="AC39" s="22">
        <f t="shared" si="57"/>
        <v>0</v>
      </c>
      <c r="AD39" s="22">
        <f t="shared" si="58"/>
        <v>0</v>
      </c>
      <c r="AE39" s="22">
        <f t="shared" si="59"/>
        <v>0</v>
      </c>
      <c r="AF39" s="22">
        <f t="shared" si="60"/>
        <v>0.50025974025974029</v>
      </c>
      <c r="AG39" s="22">
        <f t="shared" si="61"/>
        <v>0</v>
      </c>
      <c r="AH39" s="22">
        <f t="shared" si="62"/>
        <v>0</v>
      </c>
      <c r="AI39" s="22">
        <f t="shared" si="63"/>
        <v>0</v>
      </c>
      <c r="AJ39" s="82">
        <f t="shared" si="64"/>
        <v>0.83354978354978337</v>
      </c>
      <c r="AK39" s="89"/>
      <c r="AL39" s="89">
        <f t="shared" si="50"/>
        <v>10.0025974025974</v>
      </c>
    </row>
    <row r="40" spans="1:38" s="4" customFormat="1" ht="12" customHeight="1">
      <c r="A40" s="4" t="str">
        <f t="shared" si="51"/>
        <v>ROCKFORDCOMMERCIALRENT1.5TEMP-COMM</v>
      </c>
      <c r="B40" s="5" t="s">
        <v>117</v>
      </c>
      <c r="C40" s="5" t="s">
        <v>118</v>
      </c>
      <c r="D40" s="20"/>
      <c r="E40" s="20"/>
      <c r="F40" s="21">
        <v>0</v>
      </c>
      <c r="G40" s="21">
        <v>0</v>
      </c>
      <c r="H40" s="21">
        <v>15.61</v>
      </c>
      <c r="I40" s="21">
        <v>0</v>
      </c>
      <c r="J40" s="21">
        <v>0</v>
      </c>
      <c r="K40" s="21">
        <v>0</v>
      </c>
      <c r="L40" s="23">
        <f t="shared" si="34"/>
        <v>15.61</v>
      </c>
      <c r="M40" s="20"/>
      <c r="N40" s="21"/>
      <c r="O40" s="21"/>
      <c r="P40" s="21"/>
      <c r="Q40" s="21"/>
      <c r="R40" s="21"/>
      <c r="S40" s="21"/>
      <c r="T40" s="23"/>
      <c r="U40" s="23"/>
      <c r="V40" s="23">
        <f t="shared" si="36"/>
        <v>15.61</v>
      </c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5"/>
    </row>
    <row r="41" spans="1:38" s="4" customFormat="1" ht="12" customHeight="1">
      <c r="A41" s="4" t="str">
        <f t="shared" si="51"/>
        <v>ROCKFORDCOMMERCIALRENT1TEMP-COMM</v>
      </c>
      <c r="B41" s="5" t="s">
        <v>215</v>
      </c>
      <c r="C41" s="5" t="s">
        <v>216</v>
      </c>
      <c r="D41" s="20"/>
      <c r="E41" s="20"/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3">
        <f t="shared" si="34"/>
        <v>0</v>
      </c>
      <c r="M41" s="20"/>
      <c r="N41" s="21">
        <v>0</v>
      </c>
      <c r="O41" s="21">
        <v>0</v>
      </c>
      <c r="P41" s="21">
        <v>0</v>
      </c>
      <c r="Q41" s="21">
        <v>0</v>
      </c>
      <c r="R41" s="21">
        <v>15.61</v>
      </c>
      <c r="S41" s="21">
        <v>0</v>
      </c>
      <c r="T41" s="23">
        <f t="shared" ref="T41:T45" si="65">SUM(N41:S41)</f>
        <v>15.61</v>
      </c>
      <c r="U41" s="23"/>
      <c r="V41" s="23">
        <f t="shared" si="36"/>
        <v>15.61</v>
      </c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5"/>
    </row>
    <row r="42" spans="1:38" s="4" customFormat="1" ht="12" customHeight="1">
      <c r="A42" s="4" t="str">
        <f t="shared" si="51"/>
        <v>ROCKFORDCOMMERCIALRENT4TEMP-COMM</v>
      </c>
      <c r="B42" s="5" t="s">
        <v>129</v>
      </c>
      <c r="C42" s="5" t="s">
        <v>130</v>
      </c>
      <c r="D42" s="20"/>
      <c r="E42" s="20"/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3">
        <f t="shared" si="34"/>
        <v>0</v>
      </c>
      <c r="M42" s="20"/>
      <c r="N42" s="21">
        <v>0</v>
      </c>
      <c r="O42" s="21">
        <v>0</v>
      </c>
      <c r="P42" s="21">
        <v>0</v>
      </c>
      <c r="Q42" s="21">
        <v>0</v>
      </c>
      <c r="R42" s="21">
        <v>28.98</v>
      </c>
      <c r="S42" s="21">
        <v>26.75</v>
      </c>
      <c r="T42" s="23">
        <f t="shared" si="65"/>
        <v>55.730000000000004</v>
      </c>
      <c r="U42" s="23"/>
      <c r="V42" s="23">
        <f t="shared" si="36"/>
        <v>55.730000000000004</v>
      </c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5"/>
    </row>
    <row r="43" spans="1:38" s="4" customFormat="1" ht="12" customHeight="1">
      <c r="A43" s="4" t="str">
        <f t="shared" si="51"/>
        <v>ROCKFORDCOMMERCIALDELTEMP-COMM</v>
      </c>
      <c r="B43" s="5" t="s">
        <v>133</v>
      </c>
      <c r="C43" s="5" t="s">
        <v>134</v>
      </c>
      <c r="D43" s="20"/>
      <c r="E43" s="20"/>
      <c r="F43" s="21">
        <v>0</v>
      </c>
      <c r="G43" s="21">
        <v>0</v>
      </c>
      <c r="H43" s="21">
        <v>51.84</v>
      </c>
      <c r="I43" s="21">
        <v>0</v>
      </c>
      <c r="J43" s="21">
        <v>0</v>
      </c>
      <c r="K43" s="21">
        <v>0</v>
      </c>
      <c r="L43" s="23">
        <f t="shared" si="34"/>
        <v>51.84</v>
      </c>
      <c r="M43" s="20"/>
      <c r="N43" s="21">
        <v>0</v>
      </c>
      <c r="O43" s="21">
        <v>0</v>
      </c>
      <c r="P43" s="21">
        <v>0</v>
      </c>
      <c r="Q43" s="21">
        <v>0</v>
      </c>
      <c r="R43" s="21">
        <v>103.68</v>
      </c>
      <c r="S43" s="21">
        <v>51.84</v>
      </c>
      <c r="T43" s="23">
        <f t="shared" si="65"/>
        <v>155.52000000000001</v>
      </c>
      <c r="U43" s="23"/>
      <c r="V43" s="23">
        <f t="shared" si="36"/>
        <v>207.36</v>
      </c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5"/>
    </row>
    <row r="44" spans="1:38" s="2" customFormat="1" ht="12" customHeight="1">
      <c r="A44" s="4" t="str">
        <f t="shared" si="51"/>
        <v>ROCKFORDCOMMERCIALOW-COMM</v>
      </c>
      <c r="B44" s="59" t="s">
        <v>225</v>
      </c>
      <c r="C44" s="59" t="s">
        <v>226</v>
      </c>
      <c r="D44" s="20">
        <v>3.05</v>
      </c>
      <c r="E44" s="20"/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3">
        <f t="shared" si="34"/>
        <v>0</v>
      </c>
      <c r="M44" s="20"/>
      <c r="N44" s="21">
        <v>0</v>
      </c>
      <c r="O44" s="21">
        <v>0</v>
      </c>
      <c r="P44" s="21">
        <v>0</v>
      </c>
      <c r="Q44" s="21">
        <v>0</v>
      </c>
      <c r="R44" s="21">
        <v>3.05</v>
      </c>
      <c r="S44" s="21">
        <v>0</v>
      </c>
      <c r="T44" s="23">
        <f t="shared" si="65"/>
        <v>3.05</v>
      </c>
      <c r="U44" s="23"/>
      <c r="V44" s="23">
        <f t="shared" si="36"/>
        <v>3.05</v>
      </c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</row>
    <row r="45" spans="1:38" s="2" customFormat="1" ht="12" customHeight="1">
      <c r="A45" s="4" t="str">
        <f t="shared" si="51"/>
        <v>ROCKFORDCOMMERCIALADMINFEE-COMM</v>
      </c>
      <c r="B45" s="60" t="s">
        <v>279</v>
      </c>
      <c r="C45" s="60" t="s">
        <v>280</v>
      </c>
      <c r="D45" s="20"/>
      <c r="E45" s="20"/>
      <c r="F45" s="21">
        <v>-1217.23</v>
      </c>
      <c r="G45" s="21">
        <v>-1225.26</v>
      </c>
      <c r="H45" s="21">
        <v>-1237.57</v>
      </c>
      <c r="I45" s="21">
        <v>-1234.67</v>
      </c>
      <c r="J45" s="21">
        <v>-1210.8400000000001</v>
      </c>
      <c r="K45" s="21">
        <v>-1200.4000000000001</v>
      </c>
      <c r="L45" s="23">
        <f t="shared" si="34"/>
        <v>-7325.9699999999993</v>
      </c>
      <c r="M45" s="20"/>
      <c r="N45" s="21">
        <v>-1196.06</v>
      </c>
      <c r="O45" s="21">
        <v>-1185.58</v>
      </c>
      <c r="P45" s="21">
        <v>-1181.6199999999999</v>
      </c>
      <c r="Q45" s="21">
        <v>-1168.49</v>
      </c>
      <c r="R45" s="21">
        <v>-1192.2</v>
      </c>
      <c r="S45" s="21">
        <v>-1231.95</v>
      </c>
      <c r="T45" s="23">
        <f t="shared" si="65"/>
        <v>-7155.9</v>
      </c>
      <c r="U45" s="23"/>
      <c r="V45" s="23">
        <f t="shared" si="36"/>
        <v>-14481.869999999999</v>
      </c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</row>
    <row r="46" spans="1:38" s="4" customFormat="1" ht="12" customHeight="1" thickBot="1">
      <c r="B46" s="36"/>
      <c r="C46" s="36"/>
      <c r="D46" s="20"/>
      <c r="E46" s="20"/>
      <c r="F46" s="22"/>
      <c r="G46" s="22"/>
      <c r="H46" s="22"/>
      <c r="I46" s="22"/>
      <c r="J46" s="22"/>
      <c r="K46" s="22"/>
      <c r="L46" s="23"/>
      <c r="M46" s="20"/>
      <c r="N46" s="22"/>
      <c r="O46" s="22"/>
      <c r="P46" s="22"/>
      <c r="Q46" s="22"/>
      <c r="R46" s="22"/>
      <c r="S46" s="22"/>
      <c r="T46" s="23"/>
      <c r="U46" s="23"/>
      <c r="V46" s="23"/>
      <c r="AJ46" s="5"/>
    </row>
    <row r="47" spans="1:38" s="4" customFormat="1" ht="12" customHeight="1" thickBot="1">
      <c r="B47" s="36"/>
      <c r="C47" s="37" t="s">
        <v>13</v>
      </c>
      <c r="D47" s="20"/>
      <c r="E47" s="20"/>
      <c r="F47" s="27">
        <f t="shared" ref="F47:L47" si="66">SUM(F29:F46)</f>
        <v>391.10000000000014</v>
      </c>
      <c r="G47" s="27">
        <f t="shared" si="66"/>
        <v>412.90000000000009</v>
      </c>
      <c r="H47" s="27">
        <f t="shared" si="66"/>
        <v>495.19000000000005</v>
      </c>
      <c r="I47" s="27">
        <f t="shared" si="66"/>
        <v>393.3900000000001</v>
      </c>
      <c r="J47" s="27">
        <f t="shared" si="66"/>
        <v>398.44000000000005</v>
      </c>
      <c r="K47" s="27">
        <f t="shared" si="66"/>
        <v>390.67000000000007</v>
      </c>
      <c r="L47" s="27">
        <f t="shared" si="66"/>
        <v>2481.6900000000005</v>
      </c>
      <c r="M47" s="20"/>
      <c r="N47" s="27">
        <f t="shared" ref="N47:T47" si="67">SUM(N29:N46)</f>
        <v>399.59000000000015</v>
      </c>
      <c r="O47" s="27">
        <f t="shared" si="67"/>
        <v>403.97000000000025</v>
      </c>
      <c r="P47" s="27">
        <f t="shared" si="67"/>
        <v>417.5600000000004</v>
      </c>
      <c r="Q47" s="27">
        <f t="shared" si="67"/>
        <v>265.01000000000022</v>
      </c>
      <c r="R47" s="27">
        <f t="shared" si="67"/>
        <v>546.00000000000023</v>
      </c>
      <c r="S47" s="27">
        <f t="shared" si="67"/>
        <v>478.47</v>
      </c>
      <c r="T47" s="27">
        <f t="shared" si="67"/>
        <v>2510.5999999999985</v>
      </c>
      <c r="U47" s="43"/>
      <c r="V47" s="27">
        <f>SUM(V29:V46)</f>
        <v>4992.2899999999936</v>
      </c>
      <c r="AJ47" s="84">
        <f>SUM(AJ29:AJ34,AJ36:AJ38)</f>
        <v>20.916670128791026</v>
      </c>
    </row>
    <row r="48" spans="1:38" ht="12" customHeight="1">
      <c r="B48" s="2"/>
      <c r="C48" s="2"/>
    </row>
    <row r="49" spans="2:23" ht="12" customHeight="1">
      <c r="B49" s="25"/>
      <c r="C49" s="40"/>
    </row>
    <row r="50" spans="2:23" ht="12" customHeight="1">
      <c r="B50" s="6"/>
      <c r="C50" s="37" t="s">
        <v>27</v>
      </c>
      <c r="F50" s="27">
        <f>F47+F24</f>
        <v>3892.95</v>
      </c>
      <c r="G50" s="27">
        <f t="shared" ref="G50:V50" si="68">G47+G24</f>
        <v>3875.1000000000004</v>
      </c>
      <c r="H50" s="27">
        <f t="shared" si="68"/>
        <v>3975.1700000000005</v>
      </c>
      <c r="I50" s="27">
        <f t="shared" si="68"/>
        <v>3841.4900000000007</v>
      </c>
      <c r="J50" s="27">
        <f t="shared" si="68"/>
        <v>3803.2900000000004</v>
      </c>
      <c r="K50" s="27">
        <f t="shared" si="68"/>
        <v>3788.78</v>
      </c>
      <c r="L50" s="27">
        <f t="shared" si="68"/>
        <v>23176.780000000006</v>
      </c>
      <c r="M50" s="27">
        <f t="shared" si="68"/>
        <v>0</v>
      </c>
      <c r="N50" s="27">
        <f t="shared" si="68"/>
        <v>3781.9700000000007</v>
      </c>
      <c r="O50" s="27">
        <f t="shared" si="68"/>
        <v>3716.2200000000003</v>
      </c>
      <c r="P50" s="27">
        <f t="shared" si="68"/>
        <v>3763.3600000000006</v>
      </c>
      <c r="Q50" s="27">
        <f t="shared" si="68"/>
        <v>3623.8900000000003</v>
      </c>
      <c r="R50" s="27">
        <f t="shared" si="68"/>
        <v>3950.3500000000004</v>
      </c>
      <c r="S50" s="27">
        <f t="shared" si="68"/>
        <v>3891.75</v>
      </c>
      <c r="T50" s="27">
        <f t="shared" si="68"/>
        <v>22727.540000000005</v>
      </c>
      <c r="U50" s="43"/>
      <c r="V50" s="27">
        <f t="shared" si="68"/>
        <v>45904.319999999992</v>
      </c>
    </row>
    <row r="51" spans="2:23">
      <c r="B51" s="6"/>
      <c r="C51" s="6"/>
    </row>
    <row r="52" spans="2:23">
      <c r="F52" s="5">
        <v>3892.95</v>
      </c>
      <c r="G52" s="5">
        <v>3875.1</v>
      </c>
      <c r="H52" s="5">
        <v>3975.1699999999996</v>
      </c>
      <c r="I52" s="5">
        <v>3841.49</v>
      </c>
      <c r="J52" s="5">
        <v>3803.29</v>
      </c>
      <c r="K52" s="5">
        <v>3788.7799999999997</v>
      </c>
      <c r="N52" s="5">
        <v>3781.97</v>
      </c>
      <c r="O52" s="5">
        <v>3716.2200000000003</v>
      </c>
      <c r="P52" s="5">
        <v>3763.36</v>
      </c>
      <c r="Q52" s="5">
        <v>3623.89</v>
      </c>
      <c r="R52" s="5">
        <v>3950.35</v>
      </c>
      <c r="S52" s="5">
        <v>3891.75</v>
      </c>
      <c r="W52" s="5" t="s">
        <v>519</v>
      </c>
    </row>
    <row r="53" spans="2:23">
      <c r="F53" s="80">
        <f>F52-F50</f>
        <v>0</v>
      </c>
      <c r="G53" s="80">
        <f t="shared" ref="G53" si="69">G52-G50</f>
        <v>0</v>
      </c>
      <c r="H53" s="80">
        <f t="shared" ref="H53" si="70">H52-H50</f>
        <v>0</v>
      </c>
      <c r="I53" s="80">
        <f t="shared" ref="I53" si="71">I52-I50</f>
        <v>0</v>
      </c>
      <c r="J53" s="80">
        <f t="shared" ref="J53" si="72">J52-J50</f>
        <v>0</v>
      </c>
      <c r="K53" s="80">
        <f t="shared" ref="K53" si="73">K52-K50</f>
        <v>0</v>
      </c>
      <c r="N53" s="80">
        <f>N52-N50</f>
        <v>0</v>
      </c>
      <c r="O53" s="80">
        <f t="shared" ref="O53:S53" si="74">O52-O50</f>
        <v>0</v>
      </c>
      <c r="P53" s="80">
        <f t="shared" si="74"/>
        <v>0</v>
      </c>
      <c r="Q53" s="80">
        <f t="shared" si="74"/>
        <v>0</v>
      </c>
      <c r="R53" s="80">
        <f t="shared" si="74"/>
        <v>0</v>
      </c>
      <c r="S53" s="80">
        <f t="shared" si="74"/>
        <v>0</v>
      </c>
      <c r="W53" s="5" t="s">
        <v>517</v>
      </c>
    </row>
  </sheetData>
  <pageMargins left="0.7" right="0.7" top="0.75" bottom="0.75" header="0.3" footer="0.3"/>
  <pageSetup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584A652257999488EEEFF2942BCFD3A" ma:contentTypeVersion="104" ma:contentTypeDescription="" ma:contentTypeScope="" ma:versionID="db333a63bed56bea036ba31674e32fd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2016-07-22T07:00:00+00:00</OpenedDate>
    <Date1 xmlns="dc463f71-b30c-4ab2-9473-d307f9d35888">2016-07-22T07:00:00+00:00</Date1>
    <IsDocumentOrder xmlns="dc463f71-b30c-4ab2-9473-d307f9d35888" xsi:nil="true"/>
    <IsHighlyConfidential xmlns="dc463f71-b30c-4ab2-9473-d307f9d35888">false</IsHighlyConfidential>
    <CaseCompanyNames xmlns="dc463f71-b30c-4ab2-9473-d307f9d35888">EMPIRE DISPOSAL INC</CaseCompanyNames>
    <DocketNumber xmlns="dc463f71-b30c-4ab2-9473-d307f9d35888">160932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F44DFA9-CFB0-4FB3-9C6B-E7E0898E3994}"/>
</file>

<file path=customXml/itemProps2.xml><?xml version="1.0" encoding="utf-8"?>
<ds:datastoreItem xmlns:ds="http://schemas.openxmlformats.org/officeDocument/2006/customXml" ds:itemID="{0B8D5E57-8FC1-4630-AAE2-96AC70A0F70D}"/>
</file>

<file path=customXml/itemProps3.xml><?xml version="1.0" encoding="utf-8"?>
<ds:datastoreItem xmlns:ds="http://schemas.openxmlformats.org/officeDocument/2006/customXml" ds:itemID="{52C795E3-0D15-4B45-89A6-D32A384FB4A5}"/>
</file>

<file path=customXml/itemProps4.xml><?xml version="1.0" encoding="utf-8"?>
<ds:datastoreItem xmlns:ds="http://schemas.openxmlformats.org/officeDocument/2006/customXml" ds:itemID="{11EC891E-1F82-45E2-94E6-3558F785F7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29</vt:i4>
      </vt:variant>
    </vt:vector>
  </HeadingPairs>
  <TitlesOfParts>
    <vt:vector size="45" baseType="lpstr">
      <vt:lpstr>Revenue Summary</vt:lpstr>
      <vt:lpstr>Cust Count Summary</vt:lpstr>
      <vt:lpstr>Unit Counts</vt:lpstr>
      <vt:lpstr>Spokane Reg - Price out</vt:lpstr>
      <vt:lpstr>Whitman Reg - Price Out</vt:lpstr>
      <vt:lpstr>Army Non-Reg - Price Out</vt:lpstr>
      <vt:lpstr>Harrington Non-Reg - Price Out</vt:lpstr>
      <vt:lpstr>Latah Co Non-Reg - Price Out</vt:lpstr>
      <vt:lpstr>Rockford Non-Reg - Price Out</vt:lpstr>
      <vt:lpstr>Spangle Non-Reg - Price Out</vt:lpstr>
      <vt:lpstr>Starbuck Non-Reg - Price Out</vt:lpstr>
      <vt:lpstr>Tekoa Non-Reg - Price Out</vt:lpstr>
      <vt:lpstr>IS 210 Jul-Sep</vt:lpstr>
      <vt:lpstr>IS 210 Oct-Dec</vt:lpstr>
      <vt:lpstr>IS 210 Jan-Mar</vt:lpstr>
      <vt:lpstr>IS 210 Apr-Jun</vt:lpstr>
      <vt:lpstr>'IS 210 Apr-Jun'!District</vt:lpstr>
      <vt:lpstr>'IS 210 Jan-Mar'!District</vt:lpstr>
      <vt:lpstr>'IS 210 Jul-Sep'!District</vt:lpstr>
      <vt:lpstr>'IS 210 Oct-Dec'!District</vt:lpstr>
      <vt:lpstr>'IS 210 Apr-Jun'!DistrictName</vt:lpstr>
      <vt:lpstr>'IS 210 Jan-Mar'!DistrictName</vt:lpstr>
      <vt:lpstr>'IS 210 Jul-Sep'!DistrictName</vt:lpstr>
      <vt:lpstr>'IS 210 Oct-Dec'!DistrictName</vt:lpstr>
      <vt:lpstr>'Army Non-Reg - Price Out'!Print_Area</vt:lpstr>
      <vt:lpstr>'Harrington Non-Reg - Price Out'!Print_Area</vt:lpstr>
      <vt:lpstr>'IS 210 Apr-Jun'!Print_Area</vt:lpstr>
      <vt:lpstr>'IS 210 Jan-Mar'!Print_Area</vt:lpstr>
      <vt:lpstr>'IS 210 Jul-Sep'!Print_Area</vt:lpstr>
      <vt:lpstr>'IS 210 Oct-Dec'!Print_Area</vt:lpstr>
      <vt:lpstr>'Latah Co Non-Reg - Price Out'!Print_Area</vt:lpstr>
      <vt:lpstr>'Rockford Non-Reg - Price Out'!Print_Area</vt:lpstr>
      <vt:lpstr>'Spangle Non-Reg - Price Out'!Print_Area</vt:lpstr>
      <vt:lpstr>'Starbuck Non-Reg - Price Out'!Print_Area</vt:lpstr>
      <vt:lpstr>'Tekoa Non-Reg - Price Out'!Print_Area</vt:lpstr>
      <vt:lpstr>'IS 210 Apr-Jun'!Print_Titles</vt:lpstr>
      <vt:lpstr>'IS 210 Jan-Mar'!Print_Titles</vt:lpstr>
      <vt:lpstr>'IS 210 Jul-Sep'!Print_Titles</vt:lpstr>
      <vt:lpstr>'IS 210 Oct-Dec'!Print_Titles</vt:lpstr>
      <vt:lpstr>'Spokane Reg - Price out'!Print_Titles</vt:lpstr>
      <vt:lpstr>'Whitman Reg - Price Out'!Print_Titles</vt:lpstr>
      <vt:lpstr>'IS 210 Apr-Jun'!YearMonth</vt:lpstr>
      <vt:lpstr>'IS 210 Jan-Mar'!YearMonth</vt:lpstr>
      <vt:lpstr>'IS 210 Jul-Sep'!YearMonth</vt:lpstr>
      <vt:lpstr>'IS 210 Oct-Dec'!YearMonth</vt:lpstr>
    </vt:vector>
  </TitlesOfParts>
  <Company>Waste Connections,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PatrickSa</dc:creator>
  <cp:lastModifiedBy>Heather Garland</cp:lastModifiedBy>
  <cp:lastPrinted>2016-07-22T18:52:12Z</cp:lastPrinted>
  <dcterms:created xsi:type="dcterms:W3CDTF">2013-01-08T16:28:12Z</dcterms:created>
  <dcterms:modified xsi:type="dcterms:W3CDTF">2016-07-22T18:52:21Z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0x0101006E56B4D1795A2E4DB2F0B01679ED314A008584A652257999488EEEFF2942BCFD3A</vt:lpwstr>
  </property>
  <property fmtid="{D5CDD505-2E9C-101B-9397-08002B2CF9AE}" pid="3" name="_docset_NoMedatataSyncRequired">
    <vt:lpwstr>False</vt:lpwstr>
  </property>
</Properties>
</file>