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Balance'!$F$35</definedName>
    <definedName name="DSMFlag">#REF!</definedName>
    <definedName name="_xlnm.Print_Area" localSheetId="3">'WA-Sch91 Budget-Act Exp'!$B$1:$O$115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5"/>
  <c r="G22"/>
  <c r="G20"/>
  <c r="C28" l="1"/>
  <c r="C22"/>
  <c r="D20"/>
  <c r="C20"/>
  <c r="C26" l="1"/>
  <c r="C21"/>
  <c r="D16"/>
  <c r="C16"/>
  <c r="D15"/>
  <c r="C35" i="14" l="1"/>
  <c r="D35" s="1"/>
  <c r="E35" s="1"/>
  <c r="F35" s="1"/>
  <c r="G35" s="1"/>
  <c r="H35" s="1"/>
  <c r="I35" s="1"/>
  <c r="J35" s="1"/>
  <c r="K35" s="1"/>
  <c r="L35" s="1"/>
  <c r="M35" s="1"/>
  <c r="N35" s="1"/>
  <c r="C34"/>
  <c r="D34" s="1"/>
  <c r="E34" s="1"/>
  <c r="F34" s="1"/>
  <c r="G34" s="1"/>
  <c r="H34" s="1"/>
  <c r="I34" s="1"/>
  <c r="J34" s="1"/>
  <c r="K34" s="1"/>
  <c r="L34" s="1"/>
  <c r="M34" s="1"/>
  <c r="N34" s="1"/>
  <c r="C28"/>
  <c r="C29"/>
  <c r="C23"/>
  <c r="C24"/>
  <c r="C17"/>
  <c r="C19"/>
  <c r="C7"/>
  <c r="C9"/>
  <c r="C8"/>
  <c r="D8" s="1"/>
  <c r="E8" s="1"/>
  <c r="F8" s="1"/>
  <c r="G8" s="1"/>
  <c r="H8" s="1"/>
  <c r="I8" s="1"/>
  <c r="J8" s="1"/>
  <c r="K8" s="1"/>
  <c r="L8" s="1"/>
  <c r="M8" s="1"/>
  <c r="N8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103" l="1"/>
  <c r="M103"/>
  <c r="L103"/>
  <c r="K103"/>
  <c r="J103"/>
  <c r="I103"/>
  <c r="H103"/>
  <c r="G103"/>
  <c r="F103"/>
  <c r="E103"/>
  <c r="D103"/>
  <c r="C103"/>
  <c r="N92"/>
  <c r="M92"/>
  <c r="L92"/>
  <c r="K92"/>
  <c r="J92"/>
  <c r="I92"/>
  <c r="H92"/>
  <c r="G92"/>
  <c r="F92"/>
  <c r="E92"/>
  <c r="D92"/>
  <c r="C92"/>
  <c r="O68"/>
  <c r="O69"/>
  <c r="O67"/>
  <c r="O66"/>
  <c r="O65"/>
  <c r="O64"/>
  <c r="O63"/>
  <c r="O62"/>
  <c r="O58"/>
  <c r="O57"/>
  <c r="O56"/>
  <c r="O55"/>
  <c r="O54"/>
  <c r="O53"/>
  <c r="O52"/>
  <c r="O51"/>
  <c r="O43"/>
  <c r="O42"/>
  <c r="O41"/>
  <c r="O34"/>
  <c r="O23"/>
  <c r="D3"/>
  <c r="E3" s="1"/>
  <c r="F3" s="1"/>
  <c r="G3" s="1"/>
  <c r="H3" s="1"/>
  <c r="I3" s="1"/>
  <c r="J3" s="1"/>
  <c r="K3" s="1"/>
  <c r="L3" s="1"/>
  <c r="M3" s="1"/>
  <c r="N3" s="1"/>
  <c r="C35" i="19"/>
  <c r="C34"/>
  <c r="C103" s="1"/>
  <c r="C28"/>
  <c r="C29"/>
  <c r="C24"/>
  <c r="C23"/>
  <c r="C92" s="1"/>
  <c r="C22"/>
  <c r="C17"/>
  <c r="C19"/>
  <c r="C18"/>
  <c r="C7"/>
  <c r="C9"/>
  <c r="C8"/>
  <c r="O68"/>
  <c r="O57"/>
  <c r="O103" i="14" l="1"/>
  <c r="O92"/>
  <c r="D34" i="19"/>
  <c r="D23"/>
  <c r="D35"/>
  <c r="E35" s="1"/>
  <c r="F35" s="1"/>
  <c r="G35" s="1"/>
  <c r="H35" s="1"/>
  <c r="I35" s="1"/>
  <c r="J35" s="1"/>
  <c r="K35" s="1"/>
  <c r="L35" s="1"/>
  <c r="M35" s="1"/>
  <c r="N35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E3"/>
  <c r="F3" s="1"/>
  <c r="G3" s="1"/>
  <c r="H3" s="1"/>
  <c r="I3" s="1"/>
  <c r="J3" s="1"/>
  <c r="K3" s="1"/>
  <c r="L3" s="1"/>
  <c r="M3" s="1"/>
  <c r="N3" s="1"/>
  <c r="D3"/>
  <c r="C35" i="11"/>
  <c r="C34"/>
  <c r="C28"/>
  <c r="C29"/>
  <c r="C23"/>
  <c r="C24"/>
  <c r="C17"/>
  <c r="C19"/>
  <c r="C18"/>
  <c r="C92"/>
  <c r="C103"/>
  <c r="O68"/>
  <c r="O57"/>
  <c r="D34"/>
  <c r="D103" s="1"/>
  <c r="D23"/>
  <c r="D92" s="1"/>
  <c r="C7"/>
  <c r="C9"/>
  <c r="C8"/>
  <c r="D35"/>
  <c r="E35" s="1"/>
  <c r="F35" s="1"/>
  <c r="G35" s="1"/>
  <c r="H35" s="1"/>
  <c r="I35" s="1"/>
  <c r="J35" s="1"/>
  <c r="K35" s="1"/>
  <c r="L35" s="1"/>
  <c r="M35" s="1"/>
  <c r="N35" s="1"/>
  <c r="D33"/>
  <c r="E33" s="1"/>
  <c r="F33" s="1"/>
  <c r="G33" s="1"/>
  <c r="H33" s="1"/>
  <c r="I33" s="1"/>
  <c r="J33" s="1"/>
  <c r="K33" s="1"/>
  <c r="L33" s="1"/>
  <c r="M33" s="1"/>
  <c r="N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C35" i="10"/>
  <c r="D35" s="1"/>
  <c r="E35" s="1"/>
  <c r="F35" s="1"/>
  <c r="G35" s="1"/>
  <c r="H35" s="1"/>
  <c r="I35" s="1"/>
  <c r="J35" s="1"/>
  <c r="K35" s="1"/>
  <c r="L35" s="1"/>
  <c r="M35" s="1"/>
  <c r="N35" s="1"/>
  <c r="C34"/>
  <c r="C28"/>
  <c r="C29"/>
  <c r="D34"/>
  <c r="E34" s="1"/>
  <c r="D33"/>
  <c r="E33" s="1"/>
  <c r="D32"/>
  <c r="E32" s="1"/>
  <c r="F32" s="1"/>
  <c r="G32" s="1"/>
  <c r="H32" s="1"/>
  <c r="I32" s="1"/>
  <c r="J32" s="1"/>
  <c r="K32" s="1"/>
  <c r="L32" s="1"/>
  <c r="M32" s="1"/>
  <c r="N32" s="1"/>
  <c r="D31"/>
  <c r="E31" s="1"/>
  <c r="F31" s="1"/>
  <c r="G31" s="1"/>
  <c r="H31" s="1"/>
  <c r="I31" s="1"/>
  <c r="J31" s="1"/>
  <c r="K31" s="1"/>
  <c r="L31" s="1"/>
  <c r="M31" s="1"/>
  <c r="N31" s="1"/>
  <c r="D30"/>
  <c r="E30" s="1"/>
  <c r="F30" s="1"/>
  <c r="G30" s="1"/>
  <c r="H30" s="1"/>
  <c r="I30" s="1"/>
  <c r="J30" s="1"/>
  <c r="K30" s="1"/>
  <c r="L30" s="1"/>
  <c r="M30" s="1"/>
  <c r="N30" s="1"/>
  <c r="D29"/>
  <c r="E29" s="1"/>
  <c r="F29" s="1"/>
  <c r="G29" s="1"/>
  <c r="H29" s="1"/>
  <c r="I29" s="1"/>
  <c r="J29" s="1"/>
  <c r="K29" s="1"/>
  <c r="L29" s="1"/>
  <c r="M29" s="1"/>
  <c r="N29" s="1"/>
  <c r="D28"/>
  <c r="E28" s="1"/>
  <c r="F28" s="1"/>
  <c r="G28" s="1"/>
  <c r="H28" s="1"/>
  <c r="I28" s="1"/>
  <c r="J28" s="1"/>
  <c r="K28" s="1"/>
  <c r="L28" s="1"/>
  <c r="M28" s="1"/>
  <c r="N28" s="1"/>
  <c r="C23"/>
  <c r="C24"/>
  <c r="C22"/>
  <c r="D22" s="1"/>
  <c r="E22" s="1"/>
  <c r="F22" s="1"/>
  <c r="G22" s="1"/>
  <c r="H22" s="1"/>
  <c r="I22" s="1"/>
  <c r="J22" s="1"/>
  <c r="K22" s="1"/>
  <c r="L22" s="1"/>
  <c r="M22" s="1"/>
  <c r="N22" s="1"/>
  <c r="C17"/>
  <c r="C19"/>
  <c r="E20"/>
  <c r="F20" s="1"/>
  <c r="G20" s="1"/>
  <c r="H20" s="1"/>
  <c r="I20" s="1"/>
  <c r="J20" s="1"/>
  <c r="K20" s="1"/>
  <c r="L20" s="1"/>
  <c r="M20" s="1"/>
  <c r="N20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D19"/>
  <c r="D90" s="1"/>
  <c r="D17"/>
  <c r="E17" s="1"/>
  <c r="F17" s="1"/>
  <c r="G17" s="1"/>
  <c r="H17" s="1"/>
  <c r="I17" s="1"/>
  <c r="J17" s="1"/>
  <c r="K17" s="1"/>
  <c r="L17" s="1"/>
  <c r="M17" s="1"/>
  <c r="N17" s="1"/>
  <c r="C18"/>
  <c r="D18" s="1"/>
  <c r="E18" s="1"/>
  <c r="F18" s="1"/>
  <c r="G18" s="1"/>
  <c r="H18" s="1"/>
  <c r="I18" s="1"/>
  <c r="J18" s="1"/>
  <c r="K18" s="1"/>
  <c r="L18" s="1"/>
  <c r="M18" s="1"/>
  <c r="N18" s="1"/>
  <c r="C7"/>
  <c r="C9"/>
  <c r="D9" s="1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D8"/>
  <c r="E8" s="1"/>
  <c r="F8" s="1"/>
  <c r="G8" s="1"/>
  <c r="H8" s="1"/>
  <c r="I8" s="1"/>
  <c r="J8" s="1"/>
  <c r="K8" s="1"/>
  <c r="L8" s="1"/>
  <c r="M8" s="1"/>
  <c r="N8" s="1"/>
  <c r="C8"/>
  <c r="D3"/>
  <c r="E3" s="1"/>
  <c r="F3" s="1"/>
  <c r="G3" s="1"/>
  <c r="H3" s="1"/>
  <c r="I3" s="1"/>
  <c r="J3" s="1"/>
  <c r="K3" s="1"/>
  <c r="L3" s="1"/>
  <c r="M3" s="1"/>
  <c r="N3" s="1"/>
  <c r="C90"/>
  <c r="D102"/>
  <c r="C102"/>
  <c r="O67"/>
  <c r="O68"/>
  <c r="O57"/>
  <c r="D103"/>
  <c r="D92"/>
  <c r="F2" i="12"/>
  <c r="G2" s="1"/>
  <c r="H2" s="1"/>
  <c r="I2" s="1"/>
  <c r="J2" s="1"/>
  <c r="K2" s="1"/>
  <c r="L2" s="1"/>
  <c r="M2" s="1"/>
  <c r="N2" s="1"/>
  <c r="E2"/>
  <c r="D2"/>
  <c r="E34" i="19" l="1"/>
  <c r="D103"/>
  <c r="E23"/>
  <c r="D92"/>
  <c r="E34" i="11"/>
  <c r="E23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33" i="10"/>
  <c r="E102"/>
  <c r="E103"/>
  <c r="F34"/>
  <c r="G33"/>
  <c r="F102"/>
  <c r="F23"/>
  <c r="E92"/>
  <c r="E19"/>
  <c r="F92"/>
  <c r="G23"/>
  <c r="C92"/>
  <c r="C103"/>
  <c r="F34" i="19" l="1"/>
  <c r="E103"/>
  <c r="F23"/>
  <c r="E92"/>
  <c r="F34" i="11"/>
  <c r="E103"/>
  <c r="F23"/>
  <c r="E92"/>
  <c r="F103" i="10"/>
  <c r="G34"/>
  <c r="H33"/>
  <c r="G102"/>
  <c r="F19"/>
  <c r="E90"/>
  <c r="G92"/>
  <c r="H23"/>
  <c r="F103" i="19" l="1"/>
  <c r="G34"/>
  <c r="G23"/>
  <c r="F92"/>
  <c r="G34" i="11"/>
  <c r="F103"/>
  <c r="G23"/>
  <c r="F92"/>
  <c r="H34" i="10"/>
  <c r="G103"/>
  <c r="I33"/>
  <c r="H102"/>
  <c r="F90"/>
  <c r="G19"/>
  <c r="I23"/>
  <c r="H92"/>
  <c r="N104" i="19"/>
  <c r="N102"/>
  <c r="N101"/>
  <c r="N100"/>
  <c r="N99"/>
  <c r="N98"/>
  <c r="N97"/>
  <c r="N93"/>
  <c r="N91"/>
  <c r="N90"/>
  <c r="N89"/>
  <c r="N88"/>
  <c r="N87"/>
  <c r="N86"/>
  <c r="N82"/>
  <c r="N81"/>
  <c r="N80"/>
  <c r="N79"/>
  <c r="N78"/>
  <c r="N77"/>
  <c r="N76"/>
  <c r="M104"/>
  <c r="M102"/>
  <c r="M101"/>
  <c r="M100"/>
  <c r="M99"/>
  <c r="M98"/>
  <c r="M97"/>
  <c r="M93"/>
  <c r="M91"/>
  <c r="M90"/>
  <c r="M89"/>
  <c r="M88"/>
  <c r="M87"/>
  <c r="M86"/>
  <c r="M82"/>
  <c r="M81"/>
  <c r="M80"/>
  <c r="M79"/>
  <c r="M78"/>
  <c r="M77"/>
  <c r="M76"/>
  <c r="L104"/>
  <c r="L102"/>
  <c r="L101"/>
  <c r="L100"/>
  <c r="L99"/>
  <c r="L98"/>
  <c r="L97"/>
  <c r="L93"/>
  <c r="L91"/>
  <c r="L90"/>
  <c r="L89"/>
  <c r="L88"/>
  <c r="L87"/>
  <c r="L86"/>
  <c r="L82"/>
  <c r="L81"/>
  <c r="L80"/>
  <c r="L79"/>
  <c r="L78"/>
  <c r="L77"/>
  <c r="L76"/>
  <c r="K104"/>
  <c r="K102"/>
  <c r="K101"/>
  <c r="K100"/>
  <c r="K99"/>
  <c r="K98"/>
  <c r="K97"/>
  <c r="K93"/>
  <c r="K91"/>
  <c r="K90"/>
  <c r="K89"/>
  <c r="K88"/>
  <c r="K87"/>
  <c r="K86"/>
  <c r="K82"/>
  <c r="K81"/>
  <c r="K80"/>
  <c r="K79"/>
  <c r="K78"/>
  <c r="K77"/>
  <c r="K76"/>
  <c r="K97" i="14"/>
  <c r="K78"/>
  <c r="K77"/>
  <c r="K76"/>
  <c r="K70"/>
  <c r="N104"/>
  <c r="M104"/>
  <c r="L104"/>
  <c r="K104"/>
  <c r="N102"/>
  <c r="M102"/>
  <c r="L102"/>
  <c r="K102"/>
  <c r="N101"/>
  <c r="M101"/>
  <c r="L101"/>
  <c r="K101"/>
  <c r="N100"/>
  <c r="M100"/>
  <c r="L100"/>
  <c r="K100"/>
  <c r="N99"/>
  <c r="M99"/>
  <c r="L99"/>
  <c r="K99"/>
  <c r="N98"/>
  <c r="M98"/>
  <c r="L98"/>
  <c r="K98"/>
  <c r="N97"/>
  <c r="M97"/>
  <c r="L97"/>
  <c r="N93"/>
  <c r="M93"/>
  <c r="L93"/>
  <c r="K93"/>
  <c r="N91"/>
  <c r="M91"/>
  <c r="L91"/>
  <c r="K91"/>
  <c r="N90"/>
  <c r="M90"/>
  <c r="L90"/>
  <c r="K90"/>
  <c r="N89"/>
  <c r="M89"/>
  <c r="L89"/>
  <c r="K89"/>
  <c r="N88"/>
  <c r="M88"/>
  <c r="L88"/>
  <c r="K88"/>
  <c r="N87"/>
  <c r="M87"/>
  <c r="L87"/>
  <c r="K87"/>
  <c r="N86"/>
  <c r="M86"/>
  <c r="L86"/>
  <c r="K86"/>
  <c r="N82"/>
  <c r="M82"/>
  <c r="L82"/>
  <c r="K82"/>
  <c r="N81"/>
  <c r="M81"/>
  <c r="L81"/>
  <c r="K81"/>
  <c r="N80"/>
  <c r="M80"/>
  <c r="L80"/>
  <c r="K80"/>
  <c r="N79"/>
  <c r="M79"/>
  <c r="L79"/>
  <c r="K79"/>
  <c r="N78"/>
  <c r="M78"/>
  <c r="L78"/>
  <c r="N77"/>
  <c r="M77"/>
  <c r="L77"/>
  <c r="N76"/>
  <c r="M76"/>
  <c r="L76"/>
  <c r="N104" i="11"/>
  <c r="N102"/>
  <c r="N101"/>
  <c r="N100"/>
  <c r="N99"/>
  <c r="N98"/>
  <c r="N97"/>
  <c r="N93"/>
  <c r="N91"/>
  <c r="N90"/>
  <c r="N89"/>
  <c r="N88"/>
  <c r="N87"/>
  <c r="N86"/>
  <c r="N82"/>
  <c r="N81"/>
  <c r="N80"/>
  <c r="N79"/>
  <c r="N78"/>
  <c r="N77"/>
  <c r="N76"/>
  <c r="M104"/>
  <c r="M102"/>
  <c r="M101"/>
  <c r="M100"/>
  <c r="M99"/>
  <c r="M98"/>
  <c r="M97"/>
  <c r="M93"/>
  <c r="M91"/>
  <c r="M90"/>
  <c r="M89"/>
  <c r="M88"/>
  <c r="M87"/>
  <c r="M86"/>
  <c r="M82"/>
  <c r="M81"/>
  <c r="M80"/>
  <c r="M79"/>
  <c r="M78"/>
  <c r="M77"/>
  <c r="M76"/>
  <c r="L104"/>
  <c r="L102"/>
  <c r="L101"/>
  <c r="L100"/>
  <c r="L99"/>
  <c r="L98"/>
  <c r="L97"/>
  <c r="L93"/>
  <c r="L91"/>
  <c r="L90"/>
  <c r="L89"/>
  <c r="L88"/>
  <c r="L87"/>
  <c r="L86"/>
  <c r="L82"/>
  <c r="L81"/>
  <c r="L80"/>
  <c r="L79"/>
  <c r="L78"/>
  <c r="L77"/>
  <c r="L76"/>
  <c r="K104"/>
  <c r="K102"/>
  <c r="K101"/>
  <c r="K100"/>
  <c r="K99"/>
  <c r="K98"/>
  <c r="K97"/>
  <c r="K93"/>
  <c r="K91"/>
  <c r="K90"/>
  <c r="K89"/>
  <c r="K88"/>
  <c r="K87"/>
  <c r="K86"/>
  <c r="K82"/>
  <c r="K81"/>
  <c r="K80"/>
  <c r="K79"/>
  <c r="K78"/>
  <c r="K77"/>
  <c r="K76"/>
  <c r="N101" i="10"/>
  <c r="N100"/>
  <c r="N89"/>
  <c r="N88"/>
  <c r="N82"/>
  <c r="N81"/>
  <c r="N80"/>
  <c r="N79"/>
  <c r="M101"/>
  <c r="M100"/>
  <c r="M89"/>
  <c r="M88"/>
  <c r="M82"/>
  <c r="M81"/>
  <c r="M80"/>
  <c r="M79"/>
  <c r="L101"/>
  <c r="L100"/>
  <c r="L89"/>
  <c r="L88"/>
  <c r="L82"/>
  <c r="L81"/>
  <c r="L80"/>
  <c r="L79"/>
  <c r="K101"/>
  <c r="K100"/>
  <c r="K89"/>
  <c r="K88"/>
  <c r="K82"/>
  <c r="K81"/>
  <c r="K80"/>
  <c r="K79"/>
  <c r="H23" i="19" l="1"/>
  <c r="G92"/>
  <c r="H34"/>
  <c r="G103"/>
  <c r="H34" i="11"/>
  <c r="G103"/>
  <c r="H23"/>
  <c r="G92"/>
  <c r="H103" i="10"/>
  <c r="I34"/>
  <c r="I102"/>
  <c r="J33"/>
  <c r="H19"/>
  <c r="G90"/>
  <c r="J23"/>
  <c r="I92"/>
  <c r="B5" i="24"/>
  <c r="B6" s="1"/>
  <c r="B12"/>
  <c r="B5" i="23"/>
  <c r="B6" s="1"/>
  <c r="B12"/>
  <c r="I23" i="19" l="1"/>
  <c r="H92"/>
  <c r="H103"/>
  <c r="I34"/>
  <c r="I34" i="11"/>
  <c r="H103"/>
  <c r="I23"/>
  <c r="H92"/>
  <c r="I103" i="10"/>
  <c r="J34"/>
  <c r="K33"/>
  <c r="J102"/>
  <c r="H90"/>
  <c r="I19"/>
  <c r="J92"/>
  <c r="K23"/>
  <c r="B5" i="22"/>
  <c r="B6" s="1"/>
  <c r="B12"/>
  <c r="B12" i="21"/>
  <c r="J104" i="14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J104" i="19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G21" i="12"/>
  <c r="G23"/>
  <c r="G26"/>
  <c r="G28"/>
  <c r="J34" i="19" l="1"/>
  <c r="I103"/>
  <c r="J23"/>
  <c r="I92"/>
  <c r="J34" i="11"/>
  <c r="I103"/>
  <c r="J23"/>
  <c r="I92"/>
  <c r="J103" i="10"/>
  <c r="K34"/>
  <c r="L33"/>
  <c r="K102"/>
  <c r="J19"/>
  <c r="I90"/>
  <c r="K92"/>
  <c r="L23"/>
  <c r="J104" i="11"/>
  <c r="J102"/>
  <c r="J101"/>
  <c r="J100"/>
  <c r="J99"/>
  <c r="J98"/>
  <c r="J97"/>
  <c r="J93"/>
  <c r="J91"/>
  <c r="J90"/>
  <c r="J89"/>
  <c r="J88"/>
  <c r="J87"/>
  <c r="J86"/>
  <c r="J82"/>
  <c r="J81"/>
  <c r="J80"/>
  <c r="J79"/>
  <c r="J78"/>
  <c r="J77"/>
  <c r="J76"/>
  <c r="J101" i="10"/>
  <c r="J100"/>
  <c r="J89"/>
  <c r="J88"/>
  <c r="J82"/>
  <c r="J81"/>
  <c r="J80"/>
  <c r="J79"/>
  <c r="J103" i="19" l="1"/>
  <c r="K34"/>
  <c r="K23"/>
  <c r="J92"/>
  <c r="K34" i="11"/>
  <c r="J103"/>
  <c r="K23"/>
  <c r="J92"/>
  <c r="K103" i="10"/>
  <c r="L34"/>
  <c r="M33"/>
  <c r="L102"/>
  <c r="K19"/>
  <c r="J90"/>
  <c r="M23"/>
  <c r="L92"/>
  <c r="L34" i="19" l="1"/>
  <c r="K103"/>
  <c r="L23"/>
  <c r="K92"/>
  <c r="L34" i="11"/>
  <c r="K103"/>
  <c r="L23"/>
  <c r="K92"/>
  <c r="L103" i="10"/>
  <c r="M34"/>
  <c r="M102"/>
  <c r="N33"/>
  <c r="N102" s="1"/>
  <c r="L19"/>
  <c r="K90"/>
  <c r="N23"/>
  <c r="M92"/>
  <c r="I104" i="14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4" i="11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4" i="19"/>
  <c r="I102"/>
  <c r="I101"/>
  <c r="I100"/>
  <c r="I99"/>
  <c r="I98"/>
  <c r="I97"/>
  <c r="I93"/>
  <c r="I91"/>
  <c r="I90"/>
  <c r="I89"/>
  <c r="I88"/>
  <c r="I87"/>
  <c r="I86"/>
  <c r="I82"/>
  <c r="I81"/>
  <c r="I80"/>
  <c r="I79"/>
  <c r="I78"/>
  <c r="I77"/>
  <c r="I76"/>
  <c r="I101" i="10"/>
  <c r="I100"/>
  <c r="I89"/>
  <c r="I88"/>
  <c r="I82"/>
  <c r="I81"/>
  <c r="I80"/>
  <c r="I79"/>
  <c r="M34" i="19" l="1"/>
  <c r="L103"/>
  <c r="M23"/>
  <c r="L92"/>
  <c r="M34" i="11"/>
  <c r="L103"/>
  <c r="M23"/>
  <c r="L92"/>
  <c r="M103" i="10"/>
  <c r="N34"/>
  <c r="N103" s="1"/>
  <c r="O103" s="1"/>
  <c r="M19"/>
  <c r="L90"/>
  <c r="N92"/>
  <c r="O92" s="1"/>
  <c r="O23"/>
  <c r="H101"/>
  <c r="H100"/>
  <c r="H89"/>
  <c r="H88"/>
  <c r="H82"/>
  <c r="H81"/>
  <c r="H80"/>
  <c r="H79"/>
  <c r="N23" i="19" l="1"/>
  <c r="M92"/>
  <c r="M103"/>
  <c r="N34"/>
  <c r="N103" s="1"/>
  <c r="O103" s="1"/>
  <c r="O34"/>
  <c r="N34" i="11"/>
  <c r="M103"/>
  <c r="N23"/>
  <c r="N92" s="1"/>
  <c r="O92" s="1"/>
  <c r="M92"/>
  <c r="O34" i="10"/>
  <c r="N19"/>
  <c r="M90"/>
  <c r="H104" i="14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H104" i="19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H104" i="11"/>
  <c r="H102"/>
  <c r="H101"/>
  <c r="H100"/>
  <c r="H99"/>
  <c r="H98"/>
  <c r="H97"/>
  <c r="H93"/>
  <c r="H91"/>
  <c r="H90"/>
  <c r="H89"/>
  <c r="H88"/>
  <c r="H87"/>
  <c r="H86"/>
  <c r="H82"/>
  <c r="H81"/>
  <c r="H80"/>
  <c r="H79"/>
  <c r="H78"/>
  <c r="H77"/>
  <c r="H76"/>
  <c r="N92" i="19" l="1"/>
  <c r="O92" s="1"/>
  <c r="O23"/>
  <c r="O23" i="11"/>
  <c r="N103"/>
  <c r="O103" s="1"/>
  <c r="O34"/>
  <c r="N90" i="10"/>
  <c r="O90" s="1"/>
  <c r="G30" i="12"/>
  <c r="G104" i="14" l="1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4" i="19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4" i="11"/>
  <c r="G102"/>
  <c r="G101"/>
  <c r="G100"/>
  <c r="G99"/>
  <c r="G98"/>
  <c r="G97"/>
  <c r="G93"/>
  <c r="G91"/>
  <c r="G90"/>
  <c r="G89"/>
  <c r="G88"/>
  <c r="G87"/>
  <c r="G86"/>
  <c r="G82"/>
  <c r="G81"/>
  <c r="G80"/>
  <c r="G79"/>
  <c r="G78"/>
  <c r="G77"/>
  <c r="G76"/>
  <c r="G101" i="10"/>
  <c r="G100"/>
  <c r="G89"/>
  <c r="G88"/>
  <c r="G82"/>
  <c r="G81"/>
  <c r="G80"/>
  <c r="G79"/>
  <c r="F104" i="14" l="1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70" i="19"/>
  <c r="F59"/>
  <c r="F48"/>
  <c r="F104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104" i="11"/>
  <c r="F102"/>
  <c r="F101"/>
  <c r="F100"/>
  <c r="F99"/>
  <c r="F98"/>
  <c r="F97"/>
  <c r="F93"/>
  <c r="F91"/>
  <c r="F90"/>
  <c r="F89"/>
  <c r="F88"/>
  <c r="F87"/>
  <c r="F86"/>
  <c r="F82"/>
  <c r="F81"/>
  <c r="F80"/>
  <c r="F79"/>
  <c r="F78"/>
  <c r="F77"/>
  <c r="F76"/>
  <c r="F101" i="10"/>
  <c r="F100"/>
  <c r="F89"/>
  <c r="F88"/>
  <c r="F82"/>
  <c r="F81"/>
  <c r="F80"/>
  <c r="F79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102" i="19" l="1"/>
  <c r="D102"/>
  <c r="C102"/>
  <c r="E101"/>
  <c r="D101"/>
  <c r="C101"/>
  <c r="E100"/>
  <c r="D100"/>
  <c r="C100"/>
  <c r="E90"/>
  <c r="D90"/>
  <c r="C90"/>
  <c r="E89"/>
  <c r="D89"/>
  <c r="C89"/>
  <c r="E88"/>
  <c r="D88"/>
  <c r="C88"/>
  <c r="E82"/>
  <c r="D82"/>
  <c r="C82"/>
  <c r="E81"/>
  <c r="D81"/>
  <c r="C81"/>
  <c r="E80"/>
  <c r="D80"/>
  <c r="C80"/>
  <c r="E79"/>
  <c r="D79"/>
  <c r="C79"/>
  <c r="N70"/>
  <c r="M70"/>
  <c r="L70"/>
  <c r="K70"/>
  <c r="J70"/>
  <c r="I70"/>
  <c r="H70"/>
  <c r="G70"/>
  <c r="E70"/>
  <c r="D70"/>
  <c r="C70"/>
  <c r="O69"/>
  <c r="P69" s="1"/>
  <c r="O67"/>
  <c r="P67" s="1"/>
  <c r="O66"/>
  <c r="P66" s="1"/>
  <c r="O65"/>
  <c r="P65" s="1"/>
  <c r="O64"/>
  <c r="P64" s="1"/>
  <c r="O63"/>
  <c r="P63" s="1"/>
  <c r="O62"/>
  <c r="N59"/>
  <c r="M59"/>
  <c r="L59"/>
  <c r="K59"/>
  <c r="J59"/>
  <c r="I59"/>
  <c r="H59"/>
  <c r="G59"/>
  <c r="E59"/>
  <c r="D59"/>
  <c r="C59"/>
  <c r="O58"/>
  <c r="P58" s="1"/>
  <c r="O56"/>
  <c r="P56" s="1"/>
  <c r="O55"/>
  <c r="P55" s="1"/>
  <c r="O54"/>
  <c r="P54" s="1"/>
  <c r="O53"/>
  <c r="P53" s="1"/>
  <c r="O52"/>
  <c r="P52" s="1"/>
  <c r="O51"/>
  <c r="N48"/>
  <c r="M48"/>
  <c r="L48"/>
  <c r="K48"/>
  <c r="J48"/>
  <c r="I48"/>
  <c r="H48"/>
  <c r="G48"/>
  <c r="E48"/>
  <c r="D48"/>
  <c r="C48"/>
  <c r="O47"/>
  <c r="P47" s="1"/>
  <c r="O46"/>
  <c r="P46" s="1"/>
  <c r="O45"/>
  <c r="P45" s="1"/>
  <c r="O44"/>
  <c r="P44" s="1"/>
  <c r="O43"/>
  <c r="P43" s="1"/>
  <c r="O42"/>
  <c r="P42" s="1"/>
  <c r="O41"/>
  <c r="E104"/>
  <c r="D104"/>
  <c r="C104"/>
  <c r="O33"/>
  <c r="O32"/>
  <c r="O31"/>
  <c r="E99"/>
  <c r="D99"/>
  <c r="C99"/>
  <c r="E98"/>
  <c r="D98"/>
  <c r="C98"/>
  <c r="N36"/>
  <c r="M36"/>
  <c r="L36"/>
  <c r="K36"/>
  <c r="K105" s="1"/>
  <c r="J36"/>
  <c r="J105" s="1"/>
  <c r="I36"/>
  <c r="H36"/>
  <c r="H105" s="1"/>
  <c r="G36"/>
  <c r="F36"/>
  <c r="F105" s="1"/>
  <c r="E97"/>
  <c r="D97"/>
  <c r="C97"/>
  <c r="E93"/>
  <c r="D93"/>
  <c r="C93"/>
  <c r="E91"/>
  <c r="D91"/>
  <c r="C91"/>
  <c r="O21"/>
  <c r="O20"/>
  <c r="O19"/>
  <c r="E87"/>
  <c r="D87"/>
  <c r="C87"/>
  <c r="N25"/>
  <c r="N94" s="1"/>
  <c r="M25"/>
  <c r="L25"/>
  <c r="K25"/>
  <c r="K94" s="1"/>
  <c r="J25"/>
  <c r="J94" s="1"/>
  <c r="I25"/>
  <c r="I94" s="1"/>
  <c r="H25"/>
  <c r="H94" s="1"/>
  <c r="G25"/>
  <c r="F25"/>
  <c r="F94" s="1"/>
  <c r="E86"/>
  <c r="D86"/>
  <c r="C86"/>
  <c r="O13"/>
  <c r="O12"/>
  <c r="O11"/>
  <c r="O10"/>
  <c r="E78"/>
  <c r="D78"/>
  <c r="C78"/>
  <c r="E77"/>
  <c r="D77"/>
  <c r="C77"/>
  <c r="N14"/>
  <c r="N83" s="1"/>
  <c r="M14"/>
  <c r="L14"/>
  <c r="K14"/>
  <c r="K83" s="1"/>
  <c r="J14"/>
  <c r="I14"/>
  <c r="I83" s="1"/>
  <c r="H14"/>
  <c r="H83" s="1"/>
  <c r="G14"/>
  <c r="F14"/>
  <c r="F83" s="1"/>
  <c r="E76"/>
  <c r="D76"/>
  <c r="C76"/>
  <c r="O82" l="1"/>
  <c r="O80"/>
  <c r="N105"/>
  <c r="I105"/>
  <c r="O100"/>
  <c r="O102"/>
  <c r="M105"/>
  <c r="L105"/>
  <c r="G105"/>
  <c r="O99"/>
  <c r="M94"/>
  <c r="L94"/>
  <c r="G94"/>
  <c r="O89"/>
  <c r="G83"/>
  <c r="J83"/>
  <c r="M83"/>
  <c r="L83"/>
  <c r="O59"/>
  <c r="O70"/>
  <c r="O97"/>
  <c r="O98"/>
  <c r="O93"/>
  <c r="O91"/>
  <c r="C72"/>
  <c r="E72"/>
  <c r="G72"/>
  <c r="I72"/>
  <c r="K72"/>
  <c r="M72"/>
  <c r="O48"/>
  <c r="P51"/>
  <c r="P59" s="1"/>
  <c r="P62"/>
  <c r="P70" s="1"/>
  <c r="D72"/>
  <c r="F72"/>
  <c r="H72"/>
  <c r="J72"/>
  <c r="L72"/>
  <c r="N72"/>
  <c r="O79"/>
  <c r="O81"/>
  <c r="O88"/>
  <c r="O90"/>
  <c r="O101"/>
  <c r="O76"/>
  <c r="O77"/>
  <c r="O78"/>
  <c r="O86"/>
  <c r="O87"/>
  <c r="F38"/>
  <c r="H38"/>
  <c r="J38"/>
  <c r="L38"/>
  <c r="N38"/>
  <c r="N107" s="1"/>
  <c r="O104"/>
  <c r="G38"/>
  <c r="I38"/>
  <c r="I107" s="1"/>
  <c r="K38"/>
  <c r="K107" s="1"/>
  <c r="M38"/>
  <c r="O7"/>
  <c r="O9"/>
  <c r="D14"/>
  <c r="D83" s="1"/>
  <c r="O17"/>
  <c r="O24"/>
  <c r="D25"/>
  <c r="D94" s="1"/>
  <c r="O28"/>
  <c r="O30"/>
  <c r="O35"/>
  <c r="D36"/>
  <c r="P41"/>
  <c r="P48" s="1"/>
  <c r="O8"/>
  <c r="C14"/>
  <c r="C83" s="1"/>
  <c r="E14"/>
  <c r="E83" s="1"/>
  <c r="O18"/>
  <c r="O22"/>
  <c r="C25"/>
  <c r="C94" s="1"/>
  <c r="E25"/>
  <c r="E94" s="1"/>
  <c r="O29"/>
  <c r="C36"/>
  <c r="E36"/>
  <c r="H107" l="1"/>
  <c r="F107"/>
  <c r="M107"/>
  <c r="L107"/>
  <c r="J107"/>
  <c r="G107"/>
  <c r="O72"/>
  <c r="P72"/>
  <c r="O105"/>
  <c r="O94"/>
  <c r="E105"/>
  <c r="E38"/>
  <c r="E107" s="1"/>
  <c r="O36"/>
  <c r="O14"/>
  <c r="O83"/>
  <c r="C105"/>
  <c r="C38"/>
  <c r="C107" s="1"/>
  <c r="D38"/>
  <c r="D107" s="1"/>
  <c r="D105"/>
  <c r="O25"/>
  <c r="O107" l="1"/>
  <c r="O38"/>
  <c r="E102" i="14" l="1"/>
  <c r="D102"/>
  <c r="C102"/>
  <c r="E101"/>
  <c r="D101"/>
  <c r="C101"/>
  <c r="E100"/>
  <c r="D100"/>
  <c r="C100"/>
  <c r="E91"/>
  <c r="D91"/>
  <c r="C91"/>
  <c r="E90"/>
  <c r="D90"/>
  <c r="C90"/>
  <c r="E89"/>
  <c r="D89"/>
  <c r="C89"/>
  <c r="E88"/>
  <c r="D88"/>
  <c r="C88"/>
  <c r="E82"/>
  <c r="D82"/>
  <c r="C82"/>
  <c r="E81"/>
  <c r="D81"/>
  <c r="C81"/>
  <c r="E80"/>
  <c r="D80"/>
  <c r="C80"/>
  <c r="E79"/>
  <c r="D79"/>
  <c r="C79"/>
  <c r="E102" i="11"/>
  <c r="D102"/>
  <c r="C102"/>
  <c r="E101"/>
  <c r="D101"/>
  <c r="C101"/>
  <c r="E100"/>
  <c r="D100"/>
  <c r="C100"/>
  <c r="E91"/>
  <c r="D91"/>
  <c r="C91"/>
  <c r="E90"/>
  <c r="D90"/>
  <c r="C90"/>
  <c r="E89"/>
  <c r="D89"/>
  <c r="C89"/>
  <c r="E88"/>
  <c r="D88"/>
  <c r="C88"/>
  <c r="E82"/>
  <c r="D82"/>
  <c r="C82"/>
  <c r="E81"/>
  <c r="D81"/>
  <c r="C81"/>
  <c r="E80"/>
  <c r="D80"/>
  <c r="O80" s="1"/>
  <c r="C80"/>
  <c r="E79"/>
  <c r="D79"/>
  <c r="C79"/>
  <c r="O69" i="10"/>
  <c r="P69" s="1"/>
  <c r="O66"/>
  <c r="P66" s="1"/>
  <c r="O65"/>
  <c r="P65" s="1"/>
  <c r="O64"/>
  <c r="P64" s="1"/>
  <c r="O63"/>
  <c r="P63" s="1"/>
  <c r="O62"/>
  <c r="O58"/>
  <c r="P58" s="1"/>
  <c r="O56"/>
  <c r="P56" s="1"/>
  <c r="O55"/>
  <c r="P55" s="1"/>
  <c r="O54"/>
  <c r="P54" s="1"/>
  <c r="O53"/>
  <c r="P53" s="1"/>
  <c r="O52"/>
  <c r="P52" s="1"/>
  <c r="O51"/>
  <c r="P51" s="1"/>
  <c r="O47"/>
  <c r="O46"/>
  <c r="O45"/>
  <c r="O44"/>
  <c r="P44" s="1"/>
  <c r="O43"/>
  <c r="P43" s="1"/>
  <c r="O42"/>
  <c r="P42" s="1"/>
  <c r="O41"/>
  <c r="E101"/>
  <c r="D101"/>
  <c r="C101"/>
  <c r="E100"/>
  <c r="D100"/>
  <c r="C100"/>
  <c r="E89"/>
  <c r="D89"/>
  <c r="C89"/>
  <c r="E88"/>
  <c r="D88"/>
  <c r="C88"/>
  <c r="E82"/>
  <c r="D82"/>
  <c r="E81"/>
  <c r="D81"/>
  <c r="E80"/>
  <c r="D80"/>
  <c r="E79"/>
  <c r="D79"/>
  <c r="C79"/>
  <c r="C80"/>
  <c r="C81"/>
  <c r="O81" s="1"/>
  <c r="C82"/>
  <c r="E104" i="14"/>
  <c r="D104"/>
  <c r="E99"/>
  <c r="D99"/>
  <c r="E98"/>
  <c r="D98"/>
  <c r="E97"/>
  <c r="D97"/>
  <c r="C104"/>
  <c r="C99"/>
  <c r="C98"/>
  <c r="C97"/>
  <c r="E93"/>
  <c r="D93"/>
  <c r="E87"/>
  <c r="D87"/>
  <c r="E86"/>
  <c r="D86"/>
  <c r="C93"/>
  <c r="C87"/>
  <c r="C86"/>
  <c r="E78"/>
  <c r="D78"/>
  <c r="C78"/>
  <c r="E77"/>
  <c r="D77"/>
  <c r="E76"/>
  <c r="D76"/>
  <c r="C77"/>
  <c r="C76"/>
  <c r="O70"/>
  <c r="N70"/>
  <c r="M70"/>
  <c r="L70"/>
  <c r="J70"/>
  <c r="I70"/>
  <c r="H70"/>
  <c r="G70"/>
  <c r="F70"/>
  <c r="E70"/>
  <c r="D70"/>
  <c r="C70"/>
  <c r="P69"/>
  <c r="P67"/>
  <c r="P66"/>
  <c r="P65"/>
  <c r="P64"/>
  <c r="P63"/>
  <c r="P62"/>
  <c r="O59"/>
  <c r="N59"/>
  <c r="M59"/>
  <c r="L59"/>
  <c r="K59"/>
  <c r="J59"/>
  <c r="I59"/>
  <c r="H59"/>
  <c r="G59"/>
  <c r="F59"/>
  <c r="E59"/>
  <c r="D59"/>
  <c r="C59"/>
  <c r="P58"/>
  <c r="P56"/>
  <c r="P55"/>
  <c r="P54"/>
  <c r="P53"/>
  <c r="P52"/>
  <c r="P51"/>
  <c r="O48"/>
  <c r="N48"/>
  <c r="M48"/>
  <c r="L48"/>
  <c r="K48"/>
  <c r="J48"/>
  <c r="I48"/>
  <c r="H48"/>
  <c r="G48"/>
  <c r="F48"/>
  <c r="E48"/>
  <c r="D48"/>
  <c r="C48"/>
  <c r="P47"/>
  <c r="P46"/>
  <c r="P45"/>
  <c r="P44"/>
  <c r="P43"/>
  <c r="P42"/>
  <c r="P41"/>
  <c r="O33"/>
  <c r="O32"/>
  <c r="O31"/>
  <c r="M36"/>
  <c r="K36"/>
  <c r="I36"/>
  <c r="G36"/>
  <c r="E36"/>
  <c r="C36"/>
  <c r="C105" s="1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C70" i="10"/>
  <c r="E59"/>
  <c r="D59"/>
  <c r="C59"/>
  <c r="E48"/>
  <c r="D48"/>
  <c r="C48"/>
  <c r="N70"/>
  <c r="M70"/>
  <c r="L70"/>
  <c r="K70"/>
  <c r="J70"/>
  <c r="I70"/>
  <c r="H70"/>
  <c r="G70"/>
  <c r="F70"/>
  <c r="E70"/>
  <c r="D70"/>
  <c r="N59"/>
  <c r="M59"/>
  <c r="L59"/>
  <c r="K59"/>
  <c r="J59"/>
  <c r="I59"/>
  <c r="H59"/>
  <c r="G59"/>
  <c r="F59"/>
  <c r="N48"/>
  <c r="M48"/>
  <c r="L48"/>
  <c r="K48"/>
  <c r="J48"/>
  <c r="I48"/>
  <c r="H48"/>
  <c r="G48"/>
  <c r="F48"/>
  <c r="P47"/>
  <c r="P46"/>
  <c r="P45"/>
  <c r="P41"/>
  <c r="O69" i="11"/>
  <c r="O67"/>
  <c r="O66"/>
  <c r="O65"/>
  <c r="O64"/>
  <c r="O63"/>
  <c r="O62"/>
  <c r="N70"/>
  <c r="M70"/>
  <c r="L70"/>
  <c r="K70"/>
  <c r="J70"/>
  <c r="I70"/>
  <c r="H70"/>
  <c r="G70"/>
  <c r="F70"/>
  <c r="E70"/>
  <c r="D70"/>
  <c r="C70"/>
  <c r="O58"/>
  <c r="O56"/>
  <c r="O55"/>
  <c r="O54"/>
  <c r="O53"/>
  <c r="O52"/>
  <c r="O51"/>
  <c r="N59"/>
  <c r="M59"/>
  <c r="L59"/>
  <c r="K59"/>
  <c r="J59"/>
  <c r="I59"/>
  <c r="H59"/>
  <c r="G59"/>
  <c r="F59"/>
  <c r="E59"/>
  <c r="D59"/>
  <c r="C59"/>
  <c r="O47"/>
  <c r="O46"/>
  <c r="O45"/>
  <c r="O44"/>
  <c r="O43"/>
  <c r="O42"/>
  <c r="O41"/>
  <c r="N48"/>
  <c r="M48"/>
  <c r="L48"/>
  <c r="K48"/>
  <c r="J48"/>
  <c r="I48"/>
  <c r="H48"/>
  <c r="G48"/>
  <c r="F48"/>
  <c r="E48"/>
  <c r="D48"/>
  <c r="C48"/>
  <c r="E94" i="14" l="1"/>
  <c r="D72" i="10"/>
  <c r="O88" i="14"/>
  <c r="C94"/>
  <c r="C83"/>
  <c r="O86"/>
  <c r="G83"/>
  <c r="K83"/>
  <c r="I83"/>
  <c r="M83"/>
  <c r="O78"/>
  <c r="G105"/>
  <c r="I105"/>
  <c r="M105"/>
  <c r="O101"/>
  <c r="O90"/>
  <c r="G94"/>
  <c r="K94"/>
  <c r="I94"/>
  <c r="M94"/>
  <c r="O82"/>
  <c r="O93"/>
  <c r="O80"/>
  <c r="O102" i="11"/>
  <c r="N72"/>
  <c r="O82"/>
  <c r="O90"/>
  <c r="O79" i="10"/>
  <c r="O88"/>
  <c r="O89"/>
  <c r="O100"/>
  <c r="O80"/>
  <c r="O82"/>
  <c r="O101"/>
  <c r="O102"/>
  <c r="M72" i="11"/>
  <c r="L72"/>
  <c r="E83" i="14"/>
  <c r="K105"/>
  <c r="E105"/>
  <c r="K72" i="11"/>
  <c r="J72"/>
  <c r="I72"/>
  <c r="H72"/>
  <c r="O59" i="10"/>
  <c r="G72" i="11"/>
  <c r="O70" i="10"/>
  <c r="F72" i="11"/>
  <c r="O48" i="10"/>
  <c r="O76" i="14"/>
  <c r="O87"/>
  <c r="O97"/>
  <c r="O99"/>
  <c r="O77"/>
  <c r="O98"/>
  <c r="O104"/>
  <c r="P48"/>
  <c r="P70"/>
  <c r="O79"/>
  <c r="O81"/>
  <c r="O89"/>
  <c r="O91"/>
  <c r="O100"/>
  <c r="O102"/>
  <c r="O88" i="11"/>
  <c r="O79"/>
  <c r="O81"/>
  <c r="O89"/>
  <c r="O91"/>
  <c r="O100"/>
  <c r="O101"/>
  <c r="E72" i="10"/>
  <c r="C72"/>
  <c r="H72"/>
  <c r="J72"/>
  <c r="L72"/>
  <c r="N72"/>
  <c r="G72"/>
  <c r="I72"/>
  <c r="K72"/>
  <c r="M72"/>
  <c r="P62"/>
  <c r="P70" s="1"/>
  <c r="P48"/>
  <c r="P59" i="14"/>
  <c r="D72"/>
  <c r="F72"/>
  <c r="H72"/>
  <c r="J72"/>
  <c r="L72"/>
  <c r="N72"/>
  <c r="C38"/>
  <c r="E38"/>
  <c r="G38"/>
  <c r="I38"/>
  <c r="K38"/>
  <c r="M38"/>
  <c r="O7"/>
  <c r="O9"/>
  <c r="D14"/>
  <c r="D83" s="1"/>
  <c r="F14"/>
  <c r="F83" s="1"/>
  <c r="H14"/>
  <c r="H83" s="1"/>
  <c r="J14"/>
  <c r="J83" s="1"/>
  <c r="L14"/>
  <c r="L83" s="1"/>
  <c r="N14"/>
  <c r="N83" s="1"/>
  <c r="O17"/>
  <c r="O24"/>
  <c r="D25"/>
  <c r="D94" s="1"/>
  <c r="F25"/>
  <c r="F94" s="1"/>
  <c r="H25"/>
  <c r="H94" s="1"/>
  <c r="J25"/>
  <c r="J94" s="1"/>
  <c r="L25"/>
  <c r="L94" s="1"/>
  <c r="N25"/>
  <c r="N94" s="1"/>
  <c r="O28"/>
  <c r="O30"/>
  <c r="O35"/>
  <c r="D36"/>
  <c r="D105" s="1"/>
  <c r="F36"/>
  <c r="F105" s="1"/>
  <c r="H36"/>
  <c r="H105" s="1"/>
  <c r="J36"/>
  <c r="J105" s="1"/>
  <c r="L36"/>
  <c r="L105" s="1"/>
  <c r="N36"/>
  <c r="N105" s="1"/>
  <c r="C72"/>
  <c r="E72"/>
  <c r="G72"/>
  <c r="I72"/>
  <c r="K72"/>
  <c r="M72"/>
  <c r="O72"/>
  <c r="O8"/>
  <c r="O18"/>
  <c r="O20"/>
  <c r="O22"/>
  <c r="O29"/>
  <c r="E72" i="11"/>
  <c r="D72"/>
  <c r="C72"/>
  <c r="F72" i="10"/>
  <c r="P59"/>
  <c r="O70" i="11"/>
  <c r="O59"/>
  <c r="O48"/>
  <c r="O72" i="10" l="1"/>
  <c r="M107" i="14"/>
  <c r="K107"/>
  <c r="I107"/>
  <c r="G107"/>
  <c r="P72"/>
  <c r="O94"/>
  <c r="C107"/>
  <c r="E107"/>
  <c r="O105"/>
  <c r="O83"/>
  <c r="P72" i="10"/>
  <c r="N38" i="14"/>
  <c r="N107" s="1"/>
  <c r="J38"/>
  <c r="J107" s="1"/>
  <c r="F38"/>
  <c r="F107" s="1"/>
  <c r="O36"/>
  <c r="O25"/>
  <c r="O14"/>
  <c r="L38"/>
  <c r="L107" s="1"/>
  <c r="H38"/>
  <c r="H107" s="1"/>
  <c r="D38"/>
  <c r="D107" s="1"/>
  <c r="O72" i="11"/>
  <c r="N4" i="12"/>
  <c r="M4"/>
  <c r="L4"/>
  <c r="K4"/>
  <c r="J4"/>
  <c r="I4"/>
  <c r="H4"/>
  <c r="G4"/>
  <c r="F4"/>
  <c r="E4"/>
  <c r="D4"/>
  <c r="C4"/>
  <c r="O9"/>
  <c r="O5"/>
  <c r="O6" s="1"/>
  <c r="E104" i="11"/>
  <c r="D104"/>
  <c r="E99"/>
  <c r="D99"/>
  <c r="E98"/>
  <c r="D98"/>
  <c r="E97"/>
  <c r="D97"/>
  <c r="C104"/>
  <c r="C99"/>
  <c r="C98"/>
  <c r="C97"/>
  <c r="E93"/>
  <c r="D93"/>
  <c r="E87"/>
  <c r="D87"/>
  <c r="E86"/>
  <c r="D86"/>
  <c r="C93"/>
  <c r="C87"/>
  <c r="C86"/>
  <c r="E78"/>
  <c r="D78"/>
  <c r="E77"/>
  <c r="D77"/>
  <c r="E76"/>
  <c r="D76"/>
  <c r="C78"/>
  <c r="C77"/>
  <c r="C76"/>
  <c r="N6" i="12"/>
  <c r="M6"/>
  <c r="L6"/>
  <c r="K6"/>
  <c r="J6"/>
  <c r="I6"/>
  <c r="H6"/>
  <c r="G6"/>
  <c r="F6"/>
  <c r="E6"/>
  <c r="D6"/>
  <c r="C6"/>
  <c r="O35" i="11"/>
  <c r="O33"/>
  <c r="O32"/>
  <c r="O31"/>
  <c r="O30"/>
  <c r="O29"/>
  <c r="N36"/>
  <c r="N105" s="1"/>
  <c r="M36"/>
  <c r="M105" s="1"/>
  <c r="L36"/>
  <c r="L105" s="1"/>
  <c r="K36"/>
  <c r="K105" s="1"/>
  <c r="J36"/>
  <c r="J105" s="1"/>
  <c r="I36"/>
  <c r="I105" s="1"/>
  <c r="H36"/>
  <c r="H105" s="1"/>
  <c r="G36"/>
  <c r="G105" s="1"/>
  <c r="F36"/>
  <c r="F105" s="1"/>
  <c r="E36"/>
  <c r="E105" s="1"/>
  <c r="D36"/>
  <c r="D105" s="1"/>
  <c r="C36"/>
  <c r="C105" s="1"/>
  <c r="O24"/>
  <c r="O22"/>
  <c r="O21"/>
  <c r="O20"/>
  <c r="O19"/>
  <c r="O18"/>
  <c r="N25"/>
  <c r="N94" s="1"/>
  <c r="M25"/>
  <c r="M94" s="1"/>
  <c r="L25"/>
  <c r="L94" s="1"/>
  <c r="K25"/>
  <c r="K94" s="1"/>
  <c r="J25"/>
  <c r="J94" s="1"/>
  <c r="I25"/>
  <c r="I94" s="1"/>
  <c r="H25"/>
  <c r="H94" s="1"/>
  <c r="G25"/>
  <c r="G94" s="1"/>
  <c r="F25"/>
  <c r="F94" s="1"/>
  <c r="E25"/>
  <c r="E94" s="1"/>
  <c r="D25"/>
  <c r="D94" s="1"/>
  <c r="C25"/>
  <c r="C94" s="1"/>
  <c r="O13"/>
  <c r="O12"/>
  <c r="O11"/>
  <c r="O10"/>
  <c r="O8"/>
  <c r="N14"/>
  <c r="N83" s="1"/>
  <c r="M14"/>
  <c r="M83" s="1"/>
  <c r="L14"/>
  <c r="L83" s="1"/>
  <c r="K14"/>
  <c r="K83" s="1"/>
  <c r="J14"/>
  <c r="J83" s="1"/>
  <c r="I14"/>
  <c r="I83" s="1"/>
  <c r="H14"/>
  <c r="H83" s="1"/>
  <c r="G14"/>
  <c r="G83" s="1"/>
  <c r="F14"/>
  <c r="F83" s="1"/>
  <c r="E14"/>
  <c r="E83" s="1"/>
  <c r="D14"/>
  <c r="D83" s="1"/>
  <c r="O104" l="1"/>
  <c r="O86"/>
  <c r="O76"/>
  <c r="O107" i="14"/>
  <c r="O78" i="11"/>
  <c r="O93"/>
  <c r="O98"/>
  <c r="O77"/>
  <c r="O87"/>
  <c r="O97"/>
  <c r="O99"/>
  <c r="O38" i="14"/>
  <c r="O9" i="11"/>
  <c r="C14"/>
  <c r="C83" s="1"/>
  <c r="E38"/>
  <c r="E107" s="1"/>
  <c r="G38"/>
  <c r="G107" s="1"/>
  <c r="I38"/>
  <c r="I107" s="1"/>
  <c r="K38"/>
  <c r="K107" s="1"/>
  <c r="M38"/>
  <c r="M107" s="1"/>
  <c r="D38"/>
  <c r="D107" s="1"/>
  <c r="F38"/>
  <c r="F107" s="1"/>
  <c r="H38"/>
  <c r="H107" s="1"/>
  <c r="J38"/>
  <c r="J107" s="1"/>
  <c r="L38"/>
  <c r="L107" s="1"/>
  <c r="N38"/>
  <c r="N107" s="1"/>
  <c r="O7"/>
  <c r="O17"/>
  <c r="O25" s="1"/>
  <c r="O28"/>
  <c r="O36" s="1"/>
  <c r="O14" l="1"/>
  <c r="O38" s="1"/>
  <c r="C38"/>
  <c r="C107" s="1"/>
  <c r="O105"/>
  <c r="O83"/>
  <c r="O94"/>
  <c r="O107" l="1"/>
  <c r="N76" i="10" l="1"/>
  <c r="N104"/>
  <c r="M104"/>
  <c r="L104"/>
  <c r="K104"/>
  <c r="J104"/>
  <c r="I104"/>
  <c r="H104"/>
  <c r="G104"/>
  <c r="F104"/>
  <c r="E104"/>
  <c r="D104"/>
  <c r="N99"/>
  <c r="M99"/>
  <c r="L99"/>
  <c r="K99"/>
  <c r="J99"/>
  <c r="I99"/>
  <c r="H99"/>
  <c r="G99"/>
  <c r="F99"/>
  <c r="E99"/>
  <c r="D99"/>
  <c r="C99"/>
  <c r="M98"/>
  <c r="K98"/>
  <c r="I98"/>
  <c r="G98"/>
  <c r="E98"/>
  <c r="D98"/>
  <c r="C98"/>
  <c r="O33"/>
  <c r="O32"/>
  <c r="O31"/>
  <c r="O29"/>
  <c r="N97"/>
  <c r="M97"/>
  <c r="L97"/>
  <c r="K97"/>
  <c r="J97"/>
  <c r="I97"/>
  <c r="H97"/>
  <c r="G97"/>
  <c r="F97"/>
  <c r="E97"/>
  <c r="D97"/>
  <c r="C36"/>
  <c r="C105" s="1"/>
  <c r="N93"/>
  <c r="M93"/>
  <c r="L93"/>
  <c r="K93"/>
  <c r="J93"/>
  <c r="I93"/>
  <c r="H93"/>
  <c r="G93"/>
  <c r="F93"/>
  <c r="E93"/>
  <c r="D93"/>
  <c r="M91"/>
  <c r="K91"/>
  <c r="I91"/>
  <c r="G91"/>
  <c r="E91"/>
  <c r="D91"/>
  <c r="C93"/>
  <c r="C91"/>
  <c r="N87"/>
  <c r="M87"/>
  <c r="L87"/>
  <c r="K87"/>
  <c r="J87"/>
  <c r="I87"/>
  <c r="H87"/>
  <c r="G87"/>
  <c r="F87"/>
  <c r="E87"/>
  <c r="D87"/>
  <c r="C87"/>
  <c r="O21"/>
  <c r="O20"/>
  <c r="O19"/>
  <c r="N86"/>
  <c r="M86"/>
  <c r="L86"/>
  <c r="K86"/>
  <c r="J86"/>
  <c r="I86"/>
  <c r="H86"/>
  <c r="G86"/>
  <c r="F86"/>
  <c r="E86"/>
  <c r="D86"/>
  <c r="C25"/>
  <c r="C94" s="1"/>
  <c r="M36"/>
  <c r="M105" s="1"/>
  <c r="I36"/>
  <c r="I105" s="1"/>
  <c r="G36"/>
  <c r="G105" s="1"/>
  <c r="E36"/>
  <c r="E105" s="1"/>
  <c r="M25"/>
  <c r="M94" s="1"/>
  <c r="K25"/>
  <c r="K94" s="1"/>
  <c r="I25"/>
  <c r="I94" s="1"/>
  <c r="E25"/>
  <c r="E94" s="1"/>
  <c r="N78"/>
  <c r="M78"/>
  <c r="L78"/>
  <c r="K78"/>
  <c r="J78"/>
  <c r="I78"/>
  <c r="H78"/>
  <c r="G78"/>
  <c r="F78"/>
  <c r="E78"/>
  <c r="D78"/>
  <c r="C78"/>
  <c r="O13"/>
  <c r="O12"/>
  <c r="O11"/>
  <c r="O10"/>
  <c r="M77"/>
  <c r="L77"/>
  <c r="K77"/>
  <c r="J77"/>
  <c r="I77"/>
  <c r="H77"/>
  <c r="G77"/>
  <c r="F77"/>
  <c r="E77"/>
  <c r="D77"/>
  <c r="C77"/>
  <c r="L76"/>
  <c r="J76"/>
  <c r="H76"/>
  <c r="F76"/>
  <c r="O22" l="1"/>
  <c r="K36"/>
  <c r="K105" s="1"/>
  <c r="O87"/>
  <c r="G14"/>
  <c r="G83" s="1"/>
  <c r="G76"/>
  <c r="I14"/>
  <c r="I83" s="1"/>
  <c r="I76"/>
  <c r="N14"/>
  <c r="N83" s="1"/>
  <c r="N77"/>
  <c r="O77" s="1"/>
  <c r="H36"/>
  <c r="H105" s="1"/>
  <c r="H98"/>
  <c r="L36"/>
  <c r="L105" s="1"/>
  <c r="L98"/>
  <c r="G25"/>
  <c r="G94" s="1"/>
  <c r="K14"/>
  <c r="K83" s="1"/>
  <c r="K76"/>
  <c r="F25"/>
  <c r="F94" s="1"/>
  <c r="F91"/>
  <c r="J25"/>
  <c r="J94" s="1"/>
  <c r="J91"/>
  <c r="F36"/>
  <c r="F105" s="1"/>
  <c r="F98"/>
  <c r="J36"/>
  <c r="J105" s="1"/>
  <c r="J98"/>
  <c r="N36"/>
  <c r="N105" s="1"/>
  <c r="N98"/>
  <c r="N25"/>
  <c r="N94" s="1"/>
  <c r="N91"/>
  <c r="O78"/>
  <c r="O18"/>
  <c r="M14"/>
  <c r="M83" s="1"/>
  <c r="M76"/>
  <c r="H25"/>
  <c r="H94" s="1"/>
  <c r="H91"/>
  <c r="L25"/>
  <c r="L94" s="1"/>
  <c r="L91"/>
  <c r="C14"/>
  <c r="C83" s="1"/>
  <c r="C76"/>
  <c r="E14"/>
  <c r="E83" s="1"/>
  <c r="E76"/>
  <c r="O17"/>
  <c r="C86"/>
  <c r="O86" s="1"/>
  <c r="O28"/>
  <c r="C97"/>
  <c r="O97" s="1"/>
  <c r="D14"/>
  <c r="D83" s="1"/>
  <c r="D76"/>
  <c r="O35"/>
  <c r="C104"/>
  <c r="O104" s="1"/>
  <c r="O8"/>
  <c r="F14"/>
  <c r="F83" s="1"/>
  <c r="H14"/>
  <c r="H83" s="1"/>
  <c r="J14"/>
  <c r="J83" s="1"/>
  <c r="L14"/>
  <c r="O9"/>
  <c r="D25"/>
  <c r="D94" s="1"/>
  <c r="D36"/>
  <c r="D105" s="1"/>
  <c r="O24"/>
  <c r="O93"/>
  <c r="O30"/>
  <c r="O99"/>
  <c r="O7"/>
  <c r="I38"/>
  <c r="K38"/>
  <c r="M38"/>
  <c r="O25" l="1"/>
  <c r="G38"/>
  <c r="J38"/>
  <c r="J107" s="1"/>
  <c r="C38"/>
  <c r="H38"/>
  <c r="O98"/>
  <c r="O105" s="1"/>
  <c r="F38"/>
  <c r="O14"/>
  <c r="N38"/>
  <c r="N107" s="1"/>
  <c r="O91"/>
  <c r="O94" s="1"/>
  <c r="L38"/>
  <c r="L83"/>
  <c r="G107"/>
  <c r="I107"/>
  <c r="K107"/>
  <c r="M107"/>
  <c r="O36"/>
  <c r="E38"/>
  <c r="D38"/>
  <c r="O76"/>
  <c r="O83" s="1"/>
  <c r="F107" l="1"/>
  <c r="H107"/>
  <c r="C107"/>
  <c r="O38"/>
  <c r="L107"/>
  <c r="D107"/>
  <c r="E107"/>
  <c r="O107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3/31/11 WA kWh
low income 388186
nonres 6618170
res 2334768
CFL res 46364
2nd refrig 72168
simple steps res 2452393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3/31/11 ID therm
low income 3278
nonres 181483
res 196317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3/31/11 WA kWh
low income 141679
nonres 2859178
res 1159301
CFL res 11760
2nd refrig 21534
simple steps res 1051025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3/31/11 ID therm
low income 5826
nonres 30679
res 72615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
res 150309+181755
LI 155790+217113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<sst xmlns="http://schemas.openxmlformats.org/spreadsheetml/2006/main" count="892" uniqueCount="137">
  <si>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</si>
  <si>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</si>
  <si>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</si>
  <si>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</si>
  <si>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</si>
  <si>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</si>
  <si>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</si>
  <si>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</si>
  <si>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</si>
  <si>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</si>
  <si>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</si>
  <si>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</si>
  <si>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</si>
  <si>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</si>
  <si>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</si>
  <si>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</si>
  <si>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</si>
  <si>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</si>
  <si>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</si>
  <si>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</si>
  <si>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</si>
  <si>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</si>
  <si>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</si>
  <si>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</si>
  <si>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</si>
  <si>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</si>
  <si>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</si>
  <si>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</si>
  <si>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</si>
  <si>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</si>
  <si>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</si>
  <si>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</si>
  <si>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</si>
  <si>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</si>
  <si>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</si>
  <si>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</si>
  <si>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</si>
  <si>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</si>
  <si>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</si>
  <si>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Total Actual-Labor Funding</t>
  </si>
  <si>
    <t>Budget-Actual Variance</t>
  </si>
  <si>
    <t>Total Variance</t>
  </si>
  <si>
    <t>I-Direct Customer Incentives:</t>
  </si>
  <si>
    <t>DSM Functional Categories</t>
  </si>
  <si>
    <t>Total Budget-Labor Funding</t>
  </si>
  <si>
    <t>Total Budget-Non-labor, Non-incentive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</si>
  <si>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</si>
  <si>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</si>
  <si>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</si>
  <si>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</si>
  <si>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</si>
  <si>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</si>
  <si>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</si>
  <si>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</si>
  <si>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</si>
  <si>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</si>
  <si>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>1) Some items such as labor charged to a common WA-ID project when allocated to the individual states loses it's "labor" distinction and appears as a general implementation expense.  This explains the variances between non-labor/non-incentive and labor.</t>
  </si>
  <si>
    <t>2) DSM expenditures are budgeted on a annual basis and spread monthly on an equal basis.  This timing difference between budget vs actual could attribute to some variances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</si>
  <si>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</si>
  <si>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</si>
  <si>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</si>
  <si>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</si>
  <si>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</si>
  <si>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</si>
  <si>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Budget Non-Labor, Non-Incentive Funding:</t>
  </si>
  <si>
    <t>DSM Budget-Labor Funding:</t>
  </si>
  <si>
    <t>2010 Aggregate DSM Budget</t>
  </si>
  <si>
    <t>DSM Actual-Direct Customer Incentives:</t>
  </si>
  <si>
    <t>DSM Actual-Non-Labor, Non-Incentive Funding:</t>
  </si>
  <si>
    <t>DSM Actual-Non-Labor, Non-Incentive Funding</t>
  </si>
  <si>
    <t>DSM Actual-Labor Funding:</t>
  </si>
  <si>
    <t>2010 Aggregate DSM Actual</t>
  </si>
  <si>
    <t>Direct Customer Incentives:</t>
  </si>
  <si>
    <t>Non-Labor, Non-Incentive Funding:</t>
  </si>
  <si>
    <t>DSM Labor Funding:</t>
  </si>
  <si>
    <t>[a]+[b]+[c]</t>
  </si>
  <si>
    <t>[e]</t>
  </si>
  <si>
    <t>[f]</t>
  </si>
  <si>
    <t>[d]+[e]+[f]</t>
  </si>
  <si>
    <t>[a]-[d]</t>
  </si>
  <si>
    <t>[b]-[e]</t>
  </si>
  <si>
    <t>[c]-[f]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</si>
  <si>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</si>
  <si>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</si>
  <si>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</si>
  <si>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</si>
  <si>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</si>
  <si>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</si>
  <si>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</si>
  <si>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</si>
  <si>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</si>
  <si>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</si>
  <si>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</si>
  <si>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</si>
  <si>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</si>
  <si>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</si>
  <si>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</si>
  <si>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</si>
  <si>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</si>
  <si>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</si>
  <si>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</si>
  <si>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</si>
  <si>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</si>
  <si>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</si>
  <si>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</si>
  <si>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</si>
  <si>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</si>
  <si>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</si>
  <si>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</si>
  <si>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</si>
  <si>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</si>
  <si>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</si>
  <si>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</si>
  <si>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</si>
  <si>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</si>
  <si>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</si>
  <si>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</si>
  <si>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</si>
  <si>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$44k favorable variance due to less labor than budgeted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</si>
  <si>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</si>
  <si>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</si>
  <si>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</si>
  <si>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</si>
  <si>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$26k favorable variance due to less labor charged</t>
  </si>
  <si>
    <t>Feb - $217k favorable variance due to less rebates and less labor than budgeted</t>
  </si>
  <si>
    <t>Feb - $32k favorable variance due to less rebates and less labor than budgeted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</si>
  <si>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</si>
  <si>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</si>
  <si>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</si>
  <si>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</si>
  <si>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$226k favorable variance due to less implementation costs and less labor costs</t>
  </si>
  <si>
    <t>Mar - $142k favorable variance due to less rebates and less labor than budgeted</t>
  </si>
  <si>
    <t>Mar - $13k unfavorable variance due to more implementation costs than budgeted</t>
  </si>
  <si>
    <t>Mar - $51k favorable variance due to less rebates and less labor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</si>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</sst>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0" fontId="13" fillId="0" borderId="0" xfId="0" applyFont="1" applyAlignment="1">
      <alignment horizontal="left"/>
    </xf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0" fontId="13" fillId="0" borderId="0" xfId="0" applyFont="1" applyAlignment="1">
      <alignment horizontal="left"/>
    </xf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3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B3" sqref="B3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0" width="11.5703125" bestFit="1" customWidth="1"/>
    <col min="15" max="15" width="13.28515625" bestFit="1" customWidth="1"/>
  </cols>
  <sheetData>
    <row r="1" spans="2:56">
      <c r="B1" t="s">
        <v>52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46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47</v>
      </c>
      <c r="C5" s="1">
        <v>8348414</v>
      </c>
      <c r="D5" s="1">
        <v>5071285</v>
      </c>
      <c r="E5" s="1">
        <v>3736827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17156526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48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-0.47542524178185491</v>
      </c>
      <c r="F6" s="28">
        <f t="shared" si="2"/>
        <v>-1</v>
      </c>
      <c r="G6" s="28">
        <f t="shared" si="2"/>
        <v>-1</v>
      </c>
      <c r="H6" s="28">
        <f t="shared" si="2"/>
        <v>-1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-0.7992976287477469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50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49</v>
      </c>
      <c r="C9" s="1">
        <v>204928</v>
      </c>
      <c r="D9" s="1">
        <v>102760</v>
      </c>
      <c r="E9" s="1">
        <v>182510</v>
      </c>
      <c r="F9" s="1"/>
      <c r="G9" s="1"/>
      <c r="H9" s="1"/>
      <c r="I9" s="1"/>
      <c r="J9" s="1"/>
      <c r="K9" s="1"/>
      <c r="L9" s="1"/>
      <c r="M9" s="1"/>
      <c r="N9" s="1"/>
      <c r="O9" s="1">
        <f>SUM(C9:N9)</f>
        <v>490198</v>
      </c>
      <c r="P9" s="1"/>
    </row>
    <row r="10" spans="2:56">
      <c r="B10" s="40" t="s">
        <v>48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-1</v>
      </c>
      <c r="G10" s="28">
        <f t="shared" ref="G10" si="7">(G9-G8)/G8</f>
        <v>-1</v>
      </c>
      <c r="H10" s="28">
        <f t="shared" ref="H10" si="8">(H9-H8)/H8</f>
        <v>-1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-0.75309663017330652</v>
      </c>
    </row>
    <row r="13" spans="2:56" ht="15.75" thickBot="1">
      <c r="B13" s="41" t="s">
        <v>98</v>
      </c>
    </row>
    <row r="14" spans="2:56" ht="60">
      <c r="B14" s="64"/>
      <c r="C14" s="65" t="s">
        <v>86</v>
      </c>
      <c r="D14" s="65" t="s">
        <v>84</v>
      </c>
      <c r="E14" s="65" t="s">
        <v>85</v>
      </c>
      <c r="F14" s="65"/>
      <c r="G14" s="84" t="s">
        <v>88</v>
      </c>
      <c r="H14" s="65"/>
      <c r="I14" s="66" t="s">
        <v>89</v>
      </c>
    </row>
    <row r="15" spans="2:56">
      <c r="B15" s="67" t="s">
        <v>100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82</v>
      </c>
      <c r="G15" s="90">
        <f>G20+G25</f>
        <v>17156526</v>
      </c>
      <c r="H15" s="29" t="s">
        <v>82</v>
      </c>
      <c r="I15" s="69">
        <f>G15/C15</f>
        <v>0.2513055079070482</v>
      </c>
    </row>
    <row r="16" spans="2:56">
      <c r="B16" s="67" t="s">
        <v>102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82</v>
      </c>
      <c r="G16" s="90">
        <f t="shared" ref="G16:G18" si="17">G21+G26</f>
        <v>17156526</v>
      </c>
      <c r="H16" s="29" t="s">
        <v>82</v>
      </c>
      <c r="I16" s="69">
        <f t="shared" ref="I16:I18" si="18">G16/C16</f>
        <v>0.22884391162872914</v>
      </c>
    </row>
    <row r="17" spans="2:9">
      <c r="B17" s="70" t="s">
        <v>101</v>
      </c>
      <c r="C17" s="71">
        <v>2336541</v>
      </c>
      <c r="D17" s="71">
        <v>0</v>
      </c>
      <c r="E17" s="71">
        <f t="shared" si="16"/>
        <v>2336541</v>
      </c>
      <c r="F17" s="72" t="s">
        <v>83</v>
      </c>
      <c r="G17" s="91">
        <f t="shared" si="17"/>
        <v>490198</v>
      </c>
      <c r="H17" s="71" t="s">
        <v>83</v>
      </c>
      <c r="I17" s="73">
        <f t="shared" si="18"/>
        <v>0.20979644697011524</v>
      </c>
    </row>
    <row r="18" spans="2:9">
      <c r="B18" s="70" t="s">
        <v>103</v>
      </c>
      <c r="C18" s="71">
        <v>1985384</v>
      </c>
      <c r="D18" s="71">
        <v>0</v>
      </c>
      <c r="E18" s="71">
        <f t="shared" si="16"/>
        <v>1985384</v>
      </c>
      <c r="F18" s="72" t="s">
        <v>83</v>
      </c>
      <c r="G18" s="91">
        <f t="shared" si="17"/>
        <v>490198</v>
      </c>
      <c r="H18" s="71" t="s">
        <v>83</v>
      </c>
      <c r="I18" s="73">
        <f t="shared" si="18"/>
        <v>0.24690336982669348</v>
      </c>
    </row>
    <row r="19" spans="2:9">
      <c r="B19" s="67"/>
      <c r="C19" s="29"/>
      <c r="D19" s="29"/>
      <c r="E19" s="29"/>
      <c r="F19" s="68"/>
      <c r="G19" s="85"/>
      <c r="H19" s="29"/>
      <c r="I19" s="74"/>
    </row>
    <row r="20" spans="2:9">
      <c r="B20" s="67" t="s">
        <v>110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82</v>
      </c>
      <c r="G20" s="85">
        <f>388186+6618170+2334768+46364+72168+2452393</f>
        <v>11912049</v>
      </c>
      <c r="H20" s="29" t="s">
        <v>82</v>
      </c>
      <c r="I20" s="69">
        <f>G20/C20</f>
        <v>0.28221920959920954</v>
      </c>
    </row>
    <row r="21" spans="2:9">
      <c r="B21" s="67" t="s">
        <v>104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82</v>
      </c>
      <c r="G21" s="90">
        <f>G20</f>
        <v>11912049</v>
      </c>
      <c r="H21" s="29" t="s">
        <v>82</v>
      </c>
      <c r="I21" s="69">
        <f t="shared" ref="I21:I23" si="19">G21/C21</f>
        <v>0.22563590250977994</v>
      </c>
    </row>
    <row r="22" spans="2:9">
      <c r="B22" s="70" t="s">
        <v>113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83</v>
      </c>
      <c r="G22" s="86">
        <f>3278+181483+196317</f>
        <v>381078</v>
      </c>
      <c r="H22" s="71" t="s">
        <v>83</v>
      </c>
      <c r="I22" s="73">
        <f t="shared" si="19"/>
        <v>0.23244883247707973</v>
      </c>
    </row>
    <row r="23" spans="2:9">
      <c r="B23" s="70" t="s">
        <v>105</v>
      </c>
      <c r="C23" s="71">
        <v>1399076</v>
      </c>
      <c r="D23" s="71">
        <v>0</v>
      </c>
      <c r="E23" s="71">
        <f t="shared" si="16"/>
        <v>1399076</v>
      </c>
      <c r="F23" s="72" t="s">
        <v>83</v>
      </c>
      <c r="G23" s="91">
        <f>G22</f>
        <v>381078</v>
      </c>
      <c r="H23" s="71" t="s">
        <v>83</v>
      </c>
      <c r="I23" s="73">
        <f t="shared" si="19"/>
        <v>0.27237834113371967</v>
      </c>
    </row>
    <row r="24" spans="2:9">
      <c r="B24" s="67"/>
      <c r="C24" s="80"/>
      <c r="D24" s="29"/>
      <c r="E24" s="29"/>
      <c r="F24" s="68"/>
      <c r="G24" s="85"/>
      <c r="H24" s="29"/>
      <c r="I24" s="74"/>
    </row>
    <row r="25" spans="2:9">
      <c r="B25" s="67" t="s">
        <v>111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82</v>
      </c>
      <c r="G25" s="86">
        <f>141679+2859178+1159301+11760+21534+1051025</f>
        <v>5244477</v>
      </c>
      <c r="H25" s="29" t="s">
        <v>82</v>
      </c>
      <c r="I25" s="69">
        <f>G25/C25</f>
        <v>0.20123774667919275</v>
      </c>
    </row>
    <row r="26" spans="2:9">
      <c r="B26" s="67" t="s">
        <v>106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82</v>
      </c>
      <c r="G26" s="91">
        <f>G25</f>
        <v>5244477</v>
      </c>
      <c r="H26" s="29" t="s">
        <v>82</v>
      </c>
      <c r="I26" s="69">
        <f t="shared" ref="I26:I28" si="21">G26/C26</f>
        <v>0.2364806386236239</v>
      </c>
    </row>
    <row r="27" spans="2:9">
      <c r="B27" s="67" t="s">
        <v>112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83</v>
      </c>
      <c r="G27" s="86">
        <f>5826+30679+72615</f>
        <v>109120</v>
      </c>
      <c r="H27" s="29" t="s">
        <v>83</v>
      </c>
      <c r="I27" s="69">
        <f t="shared" si="21"/>
        <v>0.15652634400011378</v>
      </c>
    </row>
    <row r="28" spans="2:9">
      <c r="B28" s="67" t="s">
        <v>107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83</v>
      </c>
      <c r="G28" s="90">
        <f>G27</f>
        <v>109120</v>
      </c>
      <c r="H28" s="29" t="s">
        <v>83</v>
      </c>
      <c r="I28" s="69">
        <f t="shared" si="21"/>
        <v>0.1861137831992741</v>
      </c>
    </row>
    <row r="29" spans="2:9">
      <c r="B29" s="67"/>
      <c r="C29" s="29"/>
      <c r="D29" s="68"/>
      <c r="E29" s="68"/>
      <c r="F29" s="68"/>
      <c r="G29" s="85"/>
      <c r="H29" s="29"/>
      <c r="I29" s="74"/>
    </row>
    <row r="30" spans="2:9">
      <c r="B30" s="67" t="s">
        <v>108</v>
      </c>
      <c r="C30" s="29"/>
      <c r="D30" s="68"/>
      <c r="E30" s="29">
        <v>65990300</v>
      </c>
      <c r="F30" s="68" t="s">
        <v>82</v>
      </c>
      <c r="G30" s="91">
        <f>G20-G31</f>
        <v>11207082</v>
      </c>
      <c r="H30" s="29" t="s">
        <v>82</v>
      </c>
      <c r="I30" s="69">
        <f>G30/E30</f>
        <v>0.16982923247810663</v>
      </c>
    </row>
    <row r="31" spans="2:9">
      <c r="B31" s="67" t="s">
        <v>87</v>
      </c>
      <c r="C31" s="29"/>
      <c r="D31" s="68"/>
      <c r="E31" s="29">
        <v>1310520</v>
      </c>
      <c r="F31" s="68" t="s">
        <v>82</v>
      </c>
      <c r="G31" s="86">
        <f>150309+181755+155790+217113</f>
        <v>704967</v>
      </c>
      <c r="H31" s="29" t="s">
        <v>82</v>
      </c>
      <c r="I31" s="69">
        <f t="shared" ref="I31:I32" si="22">G31/E31</f>
        <v>0.53792921893599488</v>
      </c>
    </row>
    <row r="32" spans="2:9" ht="15.75" thickBot="1">
      <c r="B32" s="75" t="s">
        <v>109</v>
      </c>
      <c r="C32" s="76"/>
      <c r="D32" s="76"/>
      <c r="E32" s="77">
        <f>SUM(E30:E31)</f>
        <v>67300820</v>
      </c>
      <c r="F32" s="76" t="s">
        <v>82</v>
      </c>
      <c r="G32" s="92">
        <f>SUM(G30:G31)</f>
        <v>11912049</v>
      </c>
      <c r="H32" s="77" t="s">
        <v>82</v>
      </c>
      <c r="I32" s="78">
        <f t="shared" si="22"/>
        <v>0.17699708562243371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BD117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97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187235/12</f>
        <v>15602.916666666666</v>
      </c>
      <c r="D17" s="18">
        <f t="shared" ref="D17:N24" si="5">C17</f>
        <v>15602.916666666666</v>
      </c>
      <c r="E17" s="18">
        <f t="shared" si="5"/>
        <v>15602.916666666666</v>
      </c>
      <c r="F17" s="18">
        <f t="shared" si="5"/>
        <v>15602.916666666666</v>
      </c>
      <c r="G17" s="18">
        <f t="shared" si="5"/>
        <v>15602.916666666666</v>
      </c>
      <c r="H17" s="18">
        <f t="shared" si="5"/>
        <v>15602.916666666666</v>
      </c>
      <c r="I17" s="18">
        <f t="shared" si="5"/>
        <v>15602.916666666666</v>
      </c>
      <c r="J17" s="18">
        <f t="shared" si="5"/>
        <v>15602.916666666666</v>
      </c>
      <c r="K17" s="18">
        <f t="shared" si="5"/>
        <v>15602.916666666666</v>
      </c>
      <c r="L17" s="18">
        <f t="shared" si="5"/>
        <v>15602.916666666666</v>
      </c>
      <c r="M17" s="18">
        <f t="shared" si="5"/>
        <v>15602.916666666666</v>
      </c>
      <c r="N17" s="18">
        <f t="shared" si="5"/>
        <v>15602.916666666666</v>
      </c>
      <c r="O17" s="52">
        <f t="shared" ref="O17:O24" si="6">SUM(C17:N17)</f>
        <v>187234.99999999997</v>
      </c>
    </row>
    <row r="18" spans="1:15">
      <c r="B18" s="5" t="s">
        <v>32</v>
      </c>
      <c r="C18" s="18">
        <f>89250/12</f>
        <v>7437.5</v>
      </c>
      <c r="D18" s="18">
        <f t="shared" si="5"/>
        <v>7437.5</v>
      </c>
      <c r="E18" s="18">
        <f t="shared" si="5"/>
        <v>7437.5</v>
      </c>
      <c r="F18" s="18">
        <f t="shared" si="5"/>
        <v>7437.5</v>
      </c>
      <c r="G18" s="18">
        <f t="shared" si="5"/>
        <v>7437.5</v>
      </c>
      <c r="H18" s="18">
        <f t="shared" si="5"/>
        <v>7437.5</v>
      </c>
      <c r="I18" s="18">
        <f t="shared" si="5"/>
        <v>7437.5</v>
      </c>
      <c r="J18" s="18">
        <f t="shared" si="5"/>
        <v>7437.5</v>
      </c>
      <c r="K18" s="18">
        <f t="shared" si="5"/>
        <v>7437.5</v>
      </c>
      <c r="L18" s="18">
        <f t="shared" si="5"/>
        <v>7437.5</v>
      </c>
      <c r="M18" s="18">
        <f t="shared" si="5"/>
        <v>7437.5</v>
      </c>
      <c r="N18" s="18">
        <f t="shared" si="5"/>
        <v>7437.5</v>
      </c>
      <c r="O18" s="52">
        <f t="shared" si="6"/>
        <v>89250</v>
      </c>
    </row>
    <row r="19" spans="1:15">
      <c r="B19" s="5" t="s">
        <v>97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5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5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5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5">
      <c r="B23" s="5" t="s">
        <v>99</v>
      </c>
      <c r="C23" s="18">
        <f>197200/12</f>
        <v>16433.333333333332</v>
      </c>
      <c r="D23" s="18">
        <f t="shared" si="5"/>
        <v>16433.333333333332</v>
      </c>
      <c r="E23" s="18">
        <f t="shared" si="5"/>
        <v>16433.333333333332</v>
      </c>
      <c r="F23" s="18">
        <f t="shared" si="5"/>
        <v>16433.333333333332</v>
      </c>
      <c r="G23" s="18">
        <f t="shared" si="5"/>
        <v>16433.333333333332</v>
      </c>
      <c r="H23" s="18">
        <f t="shared" si="5"/>
        <v>16433.333333333332</v>
      </c>
      <c r="I23" s="18">
        <f t="shared" si="5"/>
        <v>16433.333333333332</v>
      </c>
      <c r="J23" s="18">
        <f t="shared" si="5"/>
        <v>16433.333333333332</v>
      </c>
      <c r="K23" s="18">
        <f t="shared" si="5"/>
        <v>16433.333333333332</v>
      </c>
      <c r="L23" s="18">
        <f t="shared" si="5"/>
        <v>16433.333333333332</v>
      </c>
      <c r="M23" s="18">
        <f t="shared" si="5"/>
        <v>16433.333333333332</v>
      </c>
      <c r="N23" s="18">
        <f t="shared" si="5"/>
        <v>16433.333333333332</v>
      </c>
      <c r="O23" s="52">
        <f t="shared" ref="O23" si="7">SUM(C23:N23)</f>
        <v>197200.00000000003</v>
      </c>
    </row>
    <row r="24" spans="1:15">
      <c r="B24" s="5" t="s">
        <v>36</v>
      </c>
      <c r="C24" s="18">
        <f>342081/12</f>
        <v>28506.75</v>
      </c>
      <c r="D24" s="18">
        <f t="shared" si="5"/>
        <v>28506.75</v>
      </c>
      <c r="E24" s="18">
        <f t="shared" si="5"/>
        <v>28506.75</v>
      </c>
      <c r="F24" s="18">
        <f t="shared" si="5"/>
        <v>28506.75</v>
      </c>
      <c r="G24" s="18">
        <f t="shared" si="5"/>
        <v>28506.75</v>
      </c>
      <c r="H24" s="18">
        <f t="shared" si="5"/>
        <v>28506.75</v>
      </c>
      <c r="I24" s="18">
        <f t="shared" si="5"/>
        <v>28506.75</v>
      </c>
      <c r="J24" s="18">
        <f t="shared" si="5"/>
        <v>28506.75</v>
      </c>
      <c r="K24" s="18">
        <f t="shared" si="5"/>
        <v>28506.75</v>
      </c>
      <c r="L24" s="18">
        <f t="shared" si="5"/>
        <v>28506.75</v>
      </c>
      <c r="M24" s="18">
        <f t="shared" si="5"/>
        <v>28506.75</v>
      </c>
      <c r="N24" s="18">
        <f t="shared" si="5"/>
        <v>28506.75</v>
      </c>
      <c r="O24" s="52">
        <f t="shared" si="6"/>
        <v>342081</v>
      </c>
    </row>
    <row r="25" spans="1:15">
      <c r="A25" t="s">
        <v>21</v>
      </c>
      <c r="B25" s="9" t="s">
        <v>45</v>
      </c>
      <c r="C25" s="19">
        <f t="shared" ref="C25:N25" si="8">SUM(C17:C24)</f>
        <v>126421.83333333333</v>
      </c>
      <c r="D25" s="19">
        <f t="shared" si="8"/>
        <v>126421.83333333333</v>
      </c>
      <c r="E25" s="19">
        <f t="shared" si="8"/>
        <v>126421.83333333333</v>
      </c>
      <c r="F25" s="19">
        <f t="shared" si="8"/>
        <v>126421.83333333333</v>
      </c>
      <c r="G25" s="19">
        <f t="shared" si="8"/>
        <v>126421.83333333333</v>
      </c>
      <c r="H25" s="19">
        <f t="shared" si="8"/>
        <v>126421.83333333333</v>
      </c>
      <c r="I25" s="19">
        <f t="shared" si="8"/>
        <v>126421.83333333333</v>
      </c>
      <c r="J25" s="19">
        <f t="shared" si="8"/>
        <v>126421.83333333333</v>
      </c>
      <c r="K25" s="19">
        <f t="shared" si="8"/>
        <v>126421.83333333333</v>
      </c>
      <c r="L25" s="19">
        <f t="shared" si="8"/>
        <v>126421.83333333333</v>
      </c>
      <c r="M25" s="19">
        <f t="shared" si="8"/>
        <v>126421.83333333333</v>
      </c>
      <c r="N25" s="19">
        <f t="shared" si="8"/>
        <v>126421.83333333333</v>
      </c>
      <c r="O25" s="53">
        <f>SUM(O17:O24)</f>
        <v>1517062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119885/12</f>
        <v>9990.4166666666661</v>
      </c>
      <c r="D28" s="18">
        <f t="shared" ref="D28" si="9">C28</f>
        <v>9990.4166666666661</v>
      </c>
      <c r="E28" s="18">
        <f t="shared" ref="E28:N28" si="10">D28</f>
        <v>9990.4166666666661</v>
      </c>
      <c r="F28" s="18">
        <f t="shared" si="10"/>
        <v>9990.4166666666661</v>
      </c>
      <c r="G28" s="18">
        <f t="shared" si="10"/>
        <v>9990.4166666666661</v>
      </c>
      <c r="H28" s="18">
        <f t="shared" si="10"/>
        <v>9990.4166666666661</v>
      </c>
      <c r="I28" s="18">
        <f t="shared" si="10"/>
        <v>9990.4166666666661</v>
      </c>
      <c r="J28" s="18">
        <f t="shared" si="10"/>
        <v>9990.4166666666661</v>
      </c>
      <c r="K28" s="18">
        <f t="shared" si="10"/>
        <v>9990.4166666666661</v>
      </c>
      <c r="L28" s="18">
        <f t="shared" si="10"/>
        <v>9990.4166666666661</v>
      </c>
      <c r="M28" s="18">
        <f t="shared" si="10"/>
        <v>9990.4166666666661</v>
      </c>
      <c r="N28" s="18">
        <f t="shared" si="10"/>
        <v>9990.4166666666661</v>
      </c>
      <c r="O28" s="52">
        <f t="shared" ref="O28:O35" si="11">SUM(C28:N28)</f>
        <v>119885.00000000001</v>
      </c>
    </row>
    <row r="29" spans="1:15">
      <c r="B29" s="5" t="s">
        <v>32</v>
      </c>
      <c r="C29" s="18">
        <f>7402/12</f>
        <v>616.83333333333337</v>
      </c>
      <c r="D29" s="18">
        <f t="shared" ref="D29" si="12">C29</f>
        <v>616.83333333333337</v>
      </c>
      <c r="E29" s="18">
        <f t="shared" ref="E29:N29" si="13">D29</f>
        <v>616.83333333333337</v>
      </c>
      <c r="F29" s="18">
        <f t="shared" si="13"/>
        <v>616.83333333333337</v>
      </c>
      <c r="G29" s="18">
        <f t="shared" si="13"/>
        <v>616.83333333333337</v>
      </c>
      <c r="H29" s="18">
        <f t="shared" si="13"/>
        <v>616.83333333333337</v>
      </c>
      <c r="I29" s="18">
        <f t="shared" si="13"/>
        <v>616.83333333333337</v>
      </c>
      <c r="J29" s="18">
        <f t="shared" si="13"/>
        <v>616.83333333333337</v>
      </c>
      <c r="K29" s="18">
        <f t="shared" si="13"/>
        <v>616.83333333333337</v>
      </c>
      <c r="L29" s="18">
        <f t="shared" si="13"/>
        <v>616.83333333333337</v>
      </c>
      <c r="M29" s="18">
        <f t="shared" si="13"/>
        <v>616.83333333333337</v>
      </c>
      <c r="N29" s="18">
        <f t="shared" si="13"/>
        <v>616.83333333333337</v>
      </c>
      <c r="O29" s="52">
        <f t="shared" si="11"/>
        <v>7401.9999999999991</v>
      </c>
    </row>
    <row r="30" spans="1:15">
      <c r="B30" s="5" t="s">
        <v>97</v>
      </c>
      <c r="C30" s="18">
        <v>0</v>
      </c>
      <c r="D30" s="18">
        <f t="shared" ref="D30" si="14">C30</f>
        <v>0</v>
      </c>
      <c r="E30" s="18">
        <f t="shared" ref="E30:N30" si="15">D30</f>
        <v>0</v>
      </c>
      <c r="F30" s="18">
        <f t="shared" si="15"/>
        <v>0</v>
      </c>
      <c r="G30" s="18">
        <f t="shared" si="15"/>
        <v>0</v>
      </c>
      <c r="H30" s="18">
        <f t="shared" si="15"/>
        <v>0</v>
      </c>
      <c r="I30" s="18">
        <f t="shared" si="15"/>
        <v>0</v>
      </c>
      <c r="J30" s="18">
        <f t="shared" si="15"/>
        <v>0</v>
      </c>
      <c r="K30" s="18">
        <f t="shared" si="15"/>
        <v>0</v>
      </c>
      <c r="L30" s="18">
        <f t="shared" si="15"/>
        <v>0</v>
      </c>
      <c r="M30" s="18">
        <f t="shared" si="15"/>
        <v>0</v>
      </c>
      <c r="N30" s="18">
        <f t="shared" si="15"/>
        <v>0</v>
      </c>
      <c r="O30" s="52">
        <f t="shared" si="11"/>
        <v>0</v>
      </c>
    </row>
    <row r="31" spans="1:15" hidden="1">
      <c r="B31" s="5" t="s">
        <v>33</v>
      </c>
      <c r="D31" s="18">
        <f t="shared" ref="D31" si="16">C31</f>
        <v>0</v>
      </c>
      <c r="E31" s="18">
        <f t="shared" ref="E31:N31" si="17">D31</f>
        <v>0</v>
      </c>
      <c r="F31" s="18">
        <f t="shared" si="17"/>
        <v>0</v>
      </c>
      <c r="G31" s="18">
        <f t="shared" si="17"/>
        <v>0</v>
      </c>
      <c r="H31" s="18">
        <f t="shared" si="17"/>
        <v>0</v>
      </c>
      <c r="I31" s="18">
        <f t="shared" si="17"/>
        <v>0</v>
      </c>
      <c r="J31" s="18">
        <f t="shared" si="17"/>
        <v>0</v>
      </c>
      <c r="K31" s="18">
        <f t="shared" si="17"/>
        <v>0</v>
      </c>
      <c r="L31" s="18">
        <f t="shared" si="17"/>
        <v>0</v>
      </c>
      <c r="M31" s="18">
        <f t="shared" si="17"/>
        <v>0</v>
      </c>
      <c r="N31" s="18">
        <f t="shared" si="17"/>
        <v>0</v>
      </c>
      <c r="O31" s="52">
        <f t="shared" si="11"/>
        <v>0</v>
      </c>
    </row>
    <row r="32" spans="1:15" hidden="1">
      <c r="B32" s="5" t="s">
        <v>34</v>
      </c>
      <c r="D32" s="18">
        <f t="shared" ref="D32" si="18">C32</f>
        <v>0</v>
      </c>
      <c r="E32" s="18">
        <f t="shared" ref="E32:N32" si="19">D32</f>
        <v>0</v>
      </c>
      <c r="F32" s="18">
        <f t="shared" si="19"/>
        <v>0</v>
      </c>
      <c r="G32" s="18">
        <f t="shared" si="19"/>
        <v>0</v>
      </c>
      <c r="H32" s="18">
        <f t="shared" si="19"/>
        <v>0</v>
      </c>
      <c r="I32" s="18">
        <f t="shared" si="19"/>
        <v>0</v>
      </c>
      <c r="J32" s="18">
        <f t="shared" si="19"/>
        <v>0</v>
      </c>
      <c r="K32" s="18">
        <f t="shared" si="19"/>
        <v>0</v>
      </c>
      <c r="L32" s="18">
        <f t="shared" si="19"/>
        <v>0</v>
      </c>
      <c r="M32" s="18">
        <f t="shared" si="19"/>
        <v>0</v>
      </c>
      <c r="N32" s="18">
        <f t="shared" si="19"/>
        <v>0</v>
      </c>
      <c r="O32" s="52">
        <f t="shared" si="11"/>
        <v>0</v>
      </c>
    </row>
    <row r="33" spans="1:16">
      <c r="B33" s="5" t="s">
        <v>35</v>
      </c>
      <c r="D33" s="18">
        <f t="shared" ref="D33:D34" si="20">C33</f>
        <v>0</v>
      </c>
      <c r="E33" s="18">
        <f t="shared" ref="E33:N33" si="21">D33</f>
        <v>0</v>
      </c>
      <c r="F33" s="18">
        <f t="shared" si="21"/>
        <v>0</v>
      </c>
      <c r="G33" s="18">
        <f t="shared" si="21"/>
        <v>0</v>
      </c>
      <c r="H33" s="18">
        <f t="shared" si="21"/>
        <v>0</v>
      </c>
      <c r="I33" s="18">
        <f t="shared" si="21"/>
        <v>0</v>
      </c>
      <c r="J33" s="18">
        <f t="shared" si="21"/>
        <v>0</v>
      </c>
      <c r="K33" s="18">
        <f t="shared" si="21"/>
        <v>0</v>
      </c>
      <c r="L33" s="18">
        <f t="shared" si="21"/>
        <v>0</v>
      </c>
      <c r="M33" s="18">
        <f t="shared" si="21"/>
        <v>0</v>
      </c>
      <c r="N33" s="18">
        <f t="shared" si="21"/>
        <v>0</v>
      </c>
      <c r="O33" s="52">
        <f t="shared" si="11"/>
        <v>0</v>
      </c>
    </row>
    <row r="34" spans="1:16">
      <c r="B34" s="5" t="s">
        <v>99</v>
      </c>
      <c r="C34" s="18">
        <f>41160/12</f>
        <v>3430</v>
      </c>
      <c r="D34" s="18">
        <f t="shared" si="20"/>
        <v>3430</v>
      </c>
      <c r="E34" s="18">
        <f t="shared" ref="E34:N34" si="22">D34</f>
        <v>3430</v>
      </c>
      <c r="F34" s="18">
        <f t="shared" si="22"/>
        <v>3430</v>
      </c>
      <c r="G34" s="18">
        <f t="shared" si="22"/>
        <v>3430</v>
      </c>
      <c r="H34" s="18">
        <f t="shared" si="22"/>
        <v>3430</v>
      </c>
      <c r="I34" s="18">
        <f t="shared" si="22"/>
        <v>3430</v>
      </c>
      <c r="J34" s="18">
        <f t="shared" si="22"/>
        <v>3430</v>
      </c>
      <c r="K34" s="18">
        <f t="shared" si="22"/>
        <v>3430</v>
      </c>
      <c r="L34" s="18">
        <f t="shared" si="22"/>
        <v>3430</v>
      </c>
      <c r="M34" s="18">
        <f t="shared" si="22"/>
        <v>3430</v>
      </c>
      <c r="N34" s="18">
        <f t="shared" si="22"/>
        <v>3430</v>
      </c>
      <c r="O34" s="52">
        <f t="shared" si="11"/>
        <v>41160</v>
      </c>
    </row>
    <row r="35" spans="1:16">
      <c r="B35" s="5" t="s">
        <v>36</v>
      </c>
      <c r="C35" s="18">
        <f>595153/12</f>
        <v>49596.083333333336</v>
      </c>
      <c r="D35" s="18">
        <f t="shared" ref="D35" si="23">C35</f>
        <v>49596.083333333336</v>
      </c>
      <c r="E35" s="18">
        <f t="shared" ref="E35:N35" si="24">D35</f>
        <v>49596.083333333336</v>
      </c>
      <c r="F35" s="18">
        <f t="shared" si="24"/>
        <v>49596.083333333336</v>
      </c>
      <c r="G35" s="18">
        <f t="shared" si="24"/>
        <v>49596.083333333336</v>
      </c>
      <c r="H35" s="18">
        <f t="shared" si="24"/>
        <v>49596.083333333336</v>
      </c>
      <c r="I35" s="18">
        <f t="shared" si="24"/>
        <v>49596.083333333336</v>
      </c>
      <c r="J35" s="18">
        <f t="shared" si="24"/>
        <v>49596.083333333336</v>
      </c>
      <c r="K35" s="18">
        <f t="shared" si="24"/>
        <v>49596.083333333336</v>
      </c>
      <c r="L35" s="18">
        <f t="shared" si="24"/>
        <v>49596.083333333336</v>
      </c>
      <c r="M35" s="18">
        <f t="shared" si="24"/>
        <v>49596.083333333336</v>
      </c>
      <c r="N35" s="18">
        <f t="shared" si="24"/>
        <v>49596.083333333336</v>
      </c>
      <c r="O35" s="52">
        <f t="shared" si="11"/>
        <v>595153</v>
      </c>
    </row>
    <row r="36" spans="1:16">
      <c r="A36" t="s">
        <v>20</v>
      </c>
      <c r="B36" s="9" t="s">
        <v>44</v>
      </c>
      <c r="C36" s="19">
        <f t="shared" ref="C36:O36" si="25">SUM(C28:C35)</f>
        <v>63633.333333333336</v>
      </c>
      <c r="D36" s="19">
        <f t="shared" si="25"/>
        <v>63633.333333333336</v>
      </c>
      <c r="E36" s="19">
        <f t="shared" si="25"/>
        <v>63633.333333333336</v>
      </c>
      <c r="F36" s="19">
        <f t="shared" si="25"/>
        <v>63633.333333333336</v>
      </c>
      <c r="G36" s="19">
        <f t="shared" si="25"/>
        <v>63633.333333333336</v>
      </c>
      <c r="H36" s="19">
        <f t="shared" si="25"/>
        <v>63633.333333333336</v>
      </c>
      <c r="I36" s="19">
        <f t="shared" si="25"/>
        <v>63633.333333333336</v>
      </c>
      <c r="J36" s="19">
        <f t="shared" si="25"/>
        <v>63633.333333333336</v>
      </c>
      <c r="K36" s="19">
        <f t="shared" si="25"/>
        <v>63633.333333333336</v>
      </c>
      <c r="L36" s="19">
        <f t="shared" si="25"/>
        <v>63633.333333333336</v>
      </c>
      <c r="M36" s="19">
        <f t="shared" si="25"/>
        <v>63633.333333333336</v>
      </c>
      <c r="N36" s="19">
        <f t="shared" si="25"/>
        <v>63633.333333333336</v>
      </c>
      <c r="O36" s="53">
        <f t="shared" si="25"/>
        <v>763600</v>
      </c>
    </row>
    <row r="37" spans="1:16">
      <c r="B37" s="9"/>
      <c r="O37" s="54"/>
    </row>
    <row r="38" spans="1:16" ht="15.75" thickBot="1">
      <c r="A38" t="s">
        <v>75</v>
      </c>
      <c r="B38" s="9" t="s">
        <v>66</v>
      </c>
      <c r="C38" s="21">
        <f>C36+C25+C14</f>
        <v>485385.66666666663</v>
      </c>
      <c r="D38" s="21">
        <f t="shared" ref="D38:O38" si="26">D36+D25+D14</f>
        <v>485385.66666666663</v>
      </c>
      <c r="E38" s="21">
        <f t="shared" si="26"/>
        <v>485385.66666666663</v>
      </c>
      <c r="F38" s="21">
        <f t="shared" si="26"/>
        <v>485385.66666666663</v>
      </c>
      <c r="G38" s="21">
        <f t="shared" si="26"/>
        <v>485385.66666666663</v>
      </c>
      <c r="H38" s="21">
        <f t="shared" si="26"/>
        <v>485385.66666666663</v>
      </c>
      <c r="I38" s="21">
        <f t="shared" si="26"/>
        <v>485385.66666666663</v>
      </c>
      <c r="J38" s="21">
        <f t="shared" si="26"/>
        <v>485385.66666666663</v>
      </c>
      <c r="K38" s="21">
        <f t="shared" si="26"/>
        <v>485385.66666666663</v>
      </c>
      <c r="L38" s="21">
        <f t="shared" si="26"/>
        <v>485385.66666666663</v>
      </c>
      <c r="M38" s="21">
        <f t="shared" si="26"/>
        <v>485385.66666666663</v>
      </c>
      <c r="N38" s="21">
        <f t="shared" si="26"/>
        <v>485385.66666666663</v>
      </c>
      <c r="O38" s="55">
        <f t="shared" si="26"/>
        <v>5824628</v>
      </c>
    </row>
    <row r="39" spans="1:16" ht="15.75" thickTop="1">
      <c r="B39" s="9"/>
      <c r="O39" s="54"/>
    </row>
    <row r="40" spans="1:16">
      <c r="B40" s="10" t="s">
        <v>67</v>
      </c>
      <c r="O40" s="54"/>
    </row>
    <row r="41" spans="1:16">
      <c r="B41" s="6" t="s">
        <v>31</v>
      </c>
      <c r="C41" s="20">
        <v>193522.04</v>
      </c>
      <c r="D41" s="18">
        <v>70614.250000000015</v>
      </c>
      <c r="E41" s="18">
        <v>105035.05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7" si="27">SUM(C41:N41)</f>
        <v>369171.34</v>
      </c>
      <c r="P41" s="16">
        <f t="shared" ref="P41:P47" si="28">SUM(D41:O41)</f>
        <v>544820.64</v>
      </c>
    </row>
    <row r="42" spans="1:16">
      <c r="B42" s="6" t="s">
        <v>32</v>
      </c>
      <c r="C42" s="18">
        <v>111201.47000000002</v>
      </c>
      <c r="D42" s="18">
        <v>92528.2</v>
      </c>
      <c r="E42" s="18">
        <v>73028.94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27"/>
        <v>276758.61</v>
      </c>
      <c r="P42" s="16">
        <f t="shared" si="28"/>
        <v>442315.75</v>
      </c>
    </row>
    <row r="43" spans="1:16">
      <c r="B43" s="6" t="s">
        <v>97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27"/>
        <v>0</v>
      </c>
      <c r="P43" s="16">
        <f t="shared" si="28"/>
        <v>0</v>
      </c>
    </row>
    <row r="44" spans="1:16" hidden="1">
      <c r="B44" s="6" t="s">
        <v>33</v>
      </c>
      <c r="C44" s="18"/>
      <c r="D44" s="18"/>
      <c r="E44" s="18"/>
      <c r="F44" s="36"/>
      <c r="G44" s="18"/>
      <c r="H44" s="18"/>
      <c r="I44" s="18"/>
      <c r="J44" s="18"/>
      <c r="K44" s="18"/>
      <c r="L44" s="18"/>
      <c r="M44" s="18"/>
      <c r="N44" s="18"/>
      <c r="O44" s="52">
        <f t="shared" si="27"/>
        <v>0</v>
      </c>
      <c r="P44" s="16">
        <f t="shared" si="28"/>
        <v>0</v>
      </c>
    </row>
    <row r="45" spans="1:16" hidden="1">
      <c r="B45" s="6" t="s">
        <v>34</v>
      </c>
      <c r="C45" s="18"/>
      <c r="D45" s="18"/>
      <c r="E45" s="18"/>
      <c r="F45" s="36"/>
      <c r="G45" s="18"/>
      <c r="H45" s="18"/>
      <c r="I45" s="18"/>
      <c r="J45" s="18"/>
      <c r="K45" s="18"/>
      <c r="L45" s="18"/>
      <c r="M45" s="18"/>
      <c r="N45" s="18"/>
      <c r="O45" s="52">
        <f t="shared" si="27"/>
        <v>0</v>
      </c>
      <c r="P45" s="16">
        <f t="shared" si="28"/>
        <v>0</v>
      </c>
    </row>
    <row r="46" spans="1:16" hidden="1">
      <c r="B46" s="6" t="s">
        <v>35</v>
      </c>
      <c r="C46" s="18"/>
      <c r="D46" s="18"/>
      <c r="E46" s="18"/>
      <c r="F46" s="36"/>
      <c r="G46" s="18"/>
      <c r="H46" s="18"/>
      <c r="I46" s="18"/>
      <c r="J46" s="18"/>
      <c r="K46" s="18"/>
      <c r="L46" s="18"/>
      <c r="M46" s="18"/>
      <c r="N46" s="18"/>
      <c r="O46" s="52">
        <f t="shared" si="27"/>
        <v>0</v>
      </c>
      <c r="P46" s="16">
        <f t="shared" si="28"/>
        <v>0</v>
      </c>
    </row>
    <row r="47" spans="1:16" hidden="1">
      <c r="B47" s="6" t="s">
        <v>36</v>
      </c>
      <c r="C47" s="18"/>
      <c r="D47" s="18"/>
      <c r="E47" s="18"/>
      <c r="F47" s="36"/>
      <c r="G47" s="18"/>
      <c r="H47" s="18"/>
      <c r="I47" s="18"/>
      <c r="J47" s="18"/>
      <c r="K47" s="18"/>
      <c r="L47" s="18"/>
      <c r="M47" s="18"/>
      <c r="N47" s="18"/>
      <c r="O47" s="52">
        <f t="shared" si="27"/>
        <v>0</v>
      </c>
      <c r="P47" s="16">
        <f t="shared" si="28"/>
        <v>0</v>
      </c>
    </row>
    <row r="48" spans="1:16">
      <c r="A48" t="s">
        <v>24</v>
      </c>
      <c r="B48" s="10" t="s">
        <v>38</v>
      </c>
      <c r="C48" s="19">
        <f>SUM(C41:C47)</f>
        <v>304723.51</v>
      </c>
      <c r="D48" s="19">
        <f t="shared" ref="D48:N48" si="29">SUM(D41:D47)</f>
        <v>163142.45000000001</v>
      </c>
      <c r="E48" s="19">
        <f t="shared" si="29"/>
        <v>178063.99</v>
      </c>
      <c r="F48" s="19">
        <f t="shared" si="29"/>
        <v>0</v>
      </c>
      <c r="G48" s="19">
        <f t="shared" si="29"/>
        <v>0</v>
      </c>
      <c r="H48" s="19">
        <f t="shared" si="29"/>
        <v>0</v>
      </c>
      <c r="I48" s="19">
        <f t="shared" si="29"/>
        <v>0</v>
      </c>
      <c r="J48" s="19">
        <f t="shared" si="29"/>
        <v>0</v>
      </c>
      <c r="K48" s="19">
        <f t="shared" si="29"/>
        <v>0</v>
      </c>
      <c r="L48" s="19">
        <f t="shared" si="29"/>
        <v>0</v>
      </c>
      <c r="M48" s="19">
        <f t="shared" si="29"/>
        <v>0</v>
      </c>
      <c r="N48" s="19">
        <f t="shared" si="29"/>
        <v>0</v>
      </c>
      <c r="O48" s="53">
        <f t="shared" ref="O48" si="30">SUM(O41:O47)</f>
        <v>645929.94999999995</v>
      </c>
      <c r="P48" s="19">
        <f>SUM(P41:P47)</f>
        <v>987136.39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>
      <c r="B50" s="10" t="s">
        <v>68</v>
      </c>
      <c r="C50" s="18"/>
      <c r="D50" s="18"/>
      <c r="E50" s="18"/>
      <c r="F50" s="35"/>
      <c r="G50" s="18"/>
      <c r="H50" s="18"/>
      <c r="I50" s="18"/>
      <c r="J50" s="18"/>
      <c r="K50" s="18"/>
      <c r="L50" s="18"/>
      <c r="M50" s="18"/>
      <c r="N50" s="18"/>
      <c r="O50" s="52"/>
      <c r="P50" s="18"/>
    </row>
    <row r="51" spans="1:16">
      <c r="B51" s="6" t="s">
        <v>31</v>
      </c>
      <c r="C51" s="20">
        <v>66963.63</v>
      </c>
      <c r="D51" s="18">
        <v>20807.72</v>
      </c>
      <c r="E51" s="18">
        <v>15480.669999999998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31">SUM(C51:N51)</f>
        <v>103252.02</v>
      </c>
      <c r="P51" s="16">
        <f t="shared" ref="P51:P58" si="32">SUM(D51:O51)</f>
        <v>139540.41</v>
      </c>
    </row>
    <row r="52" spans="1:16">
      <c r="B52" s="6" t="s">
        <v>32</v>
      </c>
      <c r="C52" s="18">
        <v>3698.15</v>
      </c>
      <c r="D52" s="18">
        <v>3551.46</v>
      </c>
      <c r="E52" s="18">
        <v>44083.770000000004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31"/>
        <v>51333.380000000005</v>
      </c>
      <c r="P52" s="16">
        <f t="shared" si="32"/>
        <v>98968.610000000015</v>
      </c>
    </row>
    <row r="53" spans="1:16">
      <c r="B53" s="6" t="s">
        <v>97</v>
      </c>
      <c r="C53" s="18">
        <v>783.05000000000007</v>
      </c>
      <c r="D53" s="18">
        <v>-42.2</v>
      </c>
      <c r="E53" s="18">
        <v>3772.79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31"/>
        <v>4513.6400000000003</v>
      </c>
      <c r="P53" s="16">
        <f t="shared" si="32"/>
        <v>8244.23</v>
      </c>
    </row>
    <row r="54" spans="1:16" hidden="1">
      <c r="B54" s="6" t="s">
        <v>33</v>
      </c>
      <c r="C54" s="18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31"/>
        <v>0</v>
      </c>
      <c r="P54" s="16">
        <f t="shared" si="32"/>
        <v>0</v>
      </c>
    </row>
    <row r="55" spans="1:16" hidden="1">
      <c r="B55" s="6" t="s">
        <v>34</v>
      </c>
      <c r="C55" s="18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31"/>
        <v>0</v>
      </c>
      <c r="P55" s="16">
        <f t="shared" si="32"/>
        <v>0</v>
      </c>
    </row>
    <row r="56" spans="1:16">
      <c r="B56" s="6" t="s">
        <v>35</v>
      </c>
      <c r="C56" s="18">
        <v>1049.3600000000001</v>
      </c>
      <c r="D56" s="18">
        <v>1301.51</v>
      </c>
      <c r="E56" s="18">
        <v>1260.23</v>
      </c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31"/>
        <v>3611.1</v>
      </c>
      <c r="P56" s="16">
        <f t="shared" si="32"/>
        <v>6172.84</v>
      </c>
    </row>
    <row r="57" spans="1:16">
      <c r="B57" s="6" t="s">
        <v>99</v>
      </c>
      <c r="C57" s="18">
        <v>17455.02</v>
      </c>
      <c r="D57" s="18">
        <v>21178.63</v>
      </c>
      <c r="E57" s="18">
        <v>40159.910000000003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ref="O57" si="33">SUM(C57:N57)</f>
        <v>78793.56</v>
      </c>
      <c r="P57" s="16"/>
    </row>
    <row r="58" spans="1:16">
      <c r="B58" s="6" t="s">
        <v>36</v>
      </c>
      <c r="C58" s="18">
        <v>44522.670000000006</v>
      </c>
      <c r="D58" s="18">
        <v>55904.47</v>
      </c>
      <c r="E58" s="18">
        <v>57739.42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31"/>
        <v>158166.56</v>
      </c>
      <c r="P58" s="16">
        <f t="shared" si="32"/>
        <v>271810.45</v>
      </c>
    </row>
    <row r="59" spans="1:16">
      <c r="A59" t="s">
        <v>76</v>
      </c>
      <c r="B59" s="10" t="s">
        <v>69</v>
      </c>
      <c r="C59" s="19">
        <f t="shared" ref="C59:O59" si="34">SUM(C51:C58)</f>
        <v>134471.88</v>
      </c>
      <c r="D59" s="19">
        <f t="shared" si="34"/>
        <v>102701.59</v>
      </c>
      <c r="E59" s="19">
        <f t="shared" si="34"/>
        <v>162496.79</v>
      </c>
      <c r="F59" s="19">
        <f t="shared" si="34"/>
        <v>0</v>
      </c>
      <c r="G59" s="19">
        <f t="shared" si="34"/>
        <v>0</v>
      </c>
      <c r="H59" s="19">
        <f t="shared" si="34"/>
        <v>0</v>
      </c>
      <c r="I59" s="19">
        <f t="shared" si="34"/>
        <v>0</v>
      </c>
      <c r="J59" s="19">
        <f t="shared" si="34"/>
        <v>0</v>
      </c>
      <c r="K59" s="19">
        <f t="shared" si="34"/>
        <v>0</v>
      </c>
      <c r="L59" s="19">
        <f t="shared" si="34"/>
        <v>0</v>
      </c>
      <c r="M59" s="19">
        <f t="shared" si="34"/>
        <v>0</v>
      </c>
      <c r="N59" s="19">
        <f t="shared" si="34"/>
        <v>0</v>
      </c>
      <c r="O59" s="53">
        <f t="shared" si="34"/>
        <v>399670.26</v>
      </c>
      <c r="P59" s="19">
        <f>SUM(P51:P58)</f>
        <v>524736.54</v>
      </c>
    </row>
    <row r="60" spans="1:16">
      <c r="B60" s="10"/>
      <c r="C60" s="18"/>
      <c r="D60" s="18"/>
      <c r="E60" s="18"/>
      <c r="F60" s="35"/>
      <c r="G60" s="18"/>
      <c r="H60" s="18"/>
      <c r="I60" s="18"/>
      <c r="J60" s="18"/>
      <c r="K60" s="18"/>
      <c r="L60" s="18"/>
      <c r="M60" s="18"/>
      <c r="N60" s="18"/>
      <c r="O60" s="56"/>
      <c r="P60" s="18"/>
    </row>
    <row r="61" spans="1:16">
      <c r="B61" s="10" t="s">
        <v>70</v>
      </c>
      <c r="C61" s="18"/>
      <c r="D61" s="18"/>
      <c r="E61" s="18"/>
      <c r="F61" s="35"/>
      <c r="G61" s="18"/>
      <c r="H61" s="18"/>
      <c r="I61" s="18"/>
      <c r="J61" s="18"/>
      <c r="K61" s="18"/>
      <c r="L61" s="18"/>
      <c r="M61" s="18"/>
      <c r="N61" s="18"/>
      <c r="O61" s="56"/>
      <c r="P61" s="18"/>
    </row>
    <row r="62" spans="1:16">
      <c r="B62" s="6" t="s">
        <v>31</v>
      </c>
      <c r="C62" s="20">
        <v>2165.65</v>
      </c>
      <c r="D62" s="18">
        <v>2130.6</v>
      </c>
      <c r="E62" s="18">
        <v>2844.81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35">SUM(C62:N62)</f>
        <v>7141.0599999999995</v>
      </c>
      <c r="P62" s="16">
        <f t="shared" ref="P62:P69" si="36">SUM(D62:O62)</f>
        <v>12116.47</v>
      </c>
    </row>
    <row r="63" spans="1:16">
      <c r="B63" s="6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35"/>
        <v>0</v>
      </c>
      <c r="P63" s="16">
        <f t="shared" si="36"/>
        <v>0</v>
      </c>
    </row>
    <row r="64" spans="1:16">
      <c r="B64" s="6" t="s">
        <v>97</v>
      </c>
      <c r="C64" s="18"/>
      <c r="D64" s="18">
        <v>130.74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35"/>
        <v>130.74</v>
      </c>
      <c r="P64" s="16">
        <f t="shared" si="36"/>
        <v>261.48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35"/>
        <v>0</v>
      </c>
      <c r="P65" s="16">
        <f t="shared" si="36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35"/>
        <v>0</v>
      </c>
      <c r="P66" s="16">
        <f t="shared" si="36"/>
        <v>0</v>
      </c>
    </row>
    <row r="67" spans="1:16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35"/>
        <v>0</v>
      </c>
      <c r="P67" s="16">
        <f t="shared" si="36"/>
        <v>0</v>
      </c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35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35"/>
        <v>0</v>
      </c>
      <c r="P69" s="16">
        <f t="shared" si="36"/>
        <v>0</v>
      </c>
    </row>
    <row r="70" spans="1:16">
      <c r="A70" t="s">
        <v>77</v>
      </c>
      <c r="B70" s="10" t="s">
        <v>39</v>
      </c>
      <c r="C70" s="19">
        <f t="shared" ref="C70:P70" si="37">SUM(C62:C69)</f>
        <v>2165.65</v>
      </c>
      <c r="D70" s="19">
        <f t="shared" si="37"/>
        <v>2261.34</v>
      </c>
      <c r="E70" s="19">
        <f t="shared" si="37"/>
        <v>2844.81</v>
      </c>
      <c r="F70" s="19">
        <f t="shared" si="37"/>
        <v>0</v>
      </c>
      <c r="G70" s="19">
        <f t="shared" si="37"/>
        <v>0</v>
      </c>
      <c r="H70" s="19">
        <f t="shared" si="37"/>
        <v>0</v>
      </c>
      <c r="I70" s="19">
        <f t="shared" si="37"/>
        <v>0</v>
      </c>
      <c r="J70" s="19">
        <f t="shared" si="37"/>
        <v>0</v>
      </c>
      <c r="K70" s="19">
        <f t="shared" si="37"/>
        <v>0</v>
      </c>
      <c r="L70" s="19">
        <f t="shared" si="37"/>
        <v>0</v>
      </c>
      <c r="M70" s="19">
        <f t="shared" si="37"/>
        <v>0</v>
      </c>
      <c r="N70" s="19">
        <f t="shared" si="37"/>
        <v>0</v>
      </c>
      <c r="O70" s="53">
        <f t="shared" si="37"/>
        <v>7271.7999999999993</v>
      </c>
      <c r="P70" s="19">
        <f t="shared" si="37"/>
        <v>12377.949999999999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</row>
    <row r="72" spans="1:16" ht="15.75" thickBot="1">
      <c r="A72" t="s">
        <v>78</v>
      </c>
      <c r="B72" s="10" t="s">
        <v>71</v>
      </c>
      <c r="C72" s="21">
        <f>C70+C59+C48</f>
        <v>441361.04000000004</v>
      </c>
      <c r="D72" s="21">
        <f>D70+D59+D48</f>
        <v>268105.38</v>
      </c>
      <c r="E72" s="21">
        <f t="shared" ref="E72:P72" si="38">E70+E59+E48</f>
        <v>343405.58999999997</v>
      </c>
      <c r="F72" s="21">
        <f t="shared" si="38"/>
        <v>0</v>
      </c>
      <c r="G72" s="21">
        <f t="shared" si="38"/>
        <v>0</v>
      </c>
      <c r="H72" s="21">
        <f t="shared" si="38"/>
        <v>0</v>
      </c>
      <c r="I72" s="21">
        <f t="shared" si="38"/>
        <v>0</v>
      </c>
      <c r="J72" s="21">
        <f t="shared" si="38"/>
        <v>0</v>
      </c>
      <c r="K72" s="21">
        <f t="shared" si="38"/>
        <v>0</v>
      </c>
      <c r="L72" s="21">
        <f t="shared" si="38"/>
        <v>0</v>
      </c>
      <c r="M72" s="21">
        <f t="shared" si="38"/>
        <v>0</v>
      </c>
      <c r="N72" s="21">
        <f t="shared" si="38"/>
        <v>0</v>
      </c>
      <c r="O72" s="55">
        <f t="shared" si="38"/>
        <v>1052872.01</v>
      </c>
      <c r="P72" s="21">
        <f t="shared" si="38"/>
        <v>1524250.88</v>
      </c>
    </row>
    <row r="73" spans="1:16" ht="15.75" thickTop="1">
      <c r="B73" s="9"/>
      <c r="O73" s="54"/>
    </row>
    <row r="74" spans="1:16">
      <c r="B74" s="11" t="s">
        <v>40</v>
      </c>
      <c r="O74" s="54"/>
    </row>
    <row r="75" spans="1:16">
      <c r="B75" s="11" t="s">
        <v>42</v>
      </c>
      <c r="O75" s="54"/>
    </row>
    <row r="76" spans="1:16">
      <c r="B76" s="12" t="s">
        <v>31</v>
      </c>
      <c r="C76" s="36">
        <f t="shared" ref="C76:C83" si="39">C7-C41</f>
        <v>10823.626666666649</v>
      </c>
      <c r="D76" s="36">
        <f t="shared" ref="D76:E76" si="40">D7-D41</f>
        <v>133731.41666666663</v>
      </c>
      <c r="E76" s="36">
        <f t="shared" si="40"/>
        <v>99310.616666666654</v>
      </c>
      <c r="F76" s="36">
        <f t="shared" ref="F76:G76" si="41">F7-F41</f>
        <v>204345.66666666666</v>
      </c>
      <c r="G76" s="36">
        <f t="shared" si="41"/>
        <v>204345.66666666666</v>
      </c>
      <c r="H76" s="36">
        <f t="shared" ref="H76:I76" si="42">H7-H41</f>
        <v>204345.66666666666</v>
      </c>
      <c r="I76" s="36">
        <f t="shared" si="42"/>
        <v>204345.66666666666</v>
      </c>
      <c r="J76" s="36">
        <f t="shared" ref="J76:K76" si="43">J7-J41</f>
        <v>204345.66666666666</v>
      </c>
      <c r="K76" s="36">
        <f t="shared" si="43"/>
        <v>204345.66666666666</v>
      </c>
      <c r="L76" s="36">
        <f t="shared" ref="L76:N76" si="44">L7-L41</f>
        <v>204345.66666666666</v>
      </c>
      <c r="M76" s="36">
        <f t="shared" si="44"/>
        <v>204345.66666666666</v>
      </c>
      <c r="N76" s="36">
        <f t="shared" si="44"/>
        <v>204345.66666666666</v>
      </c>
      <c r="O76" s="52">
        <f t="shared" ref="O76:O82" si="45">SUM(C76:N76)</f>
        <v>2082976.6600000001</v>
      </c>
    </row>
    <row r="77" spans="1:16">
      <c r="B77" s="12" t="s">
        <v>32</v>
      </c>
      <c r="C77" s="36">
        <f t="shared" si="39"/>
        <v>-49825.720000000016</v>
      </c>
      <c r="D77" s="36">
        <f t="shared" ref="D77:E83" si="46">D8-D42</f>
        <v>-31152.449999999997</v>
      </c>
      <c r="E77" s="36">
        <f t="shared" si="46"/>
        <v>-11653.190000000002</v>
      </c>
      <c r="F77" s="36">
        <f t="shared" ref="F77:G77" si="47">F8-F42</f>
        <v>61375.75</v>
      </c>
      <c r="G77" s="36">
        <f t="shared" si="47"/>
        <v>61375.75</v>
      </c>
      <c r="H77" s="36">
        <f t="shared" ref="H77:I77" si="48">H8-H42</f>
        <v>61375.75</v>
      </c>
      <c r="I77" s="36">
        <f t="shared" si="48"/>
        <v>61375.75</v>
      </c>
      <c r="J77" s="36">
        <f t="shared" ref="J77:K77" si="49">J8-J42</f>
        <v>61375.75</v>
      </c>
      <c r="K77" s="36">
        <f t="shared" si="49"/>
        <v>61375.75</v>
      </c>
      <c r="L77" s="36">
        <f t="shared" ref="L77:N77" si="50">L8-L42</f>
        <v>61375.75</v>
      </c>
      <c r="M77" s="36">
        <f t="shared" si="50"/>
        <v>61375.75</v>
      </c>
      <c r="N77" s="36">
        <f t="shared" si="50"/>
        <v>61375.75</v>
      </c>
      <c r="O77" s="52">
        <f t="shared" si="45"/>
        <v>459750.39</v>
      </c>
    </row>
    <row r="78" spans="1:16">
      <c r="B78" s="12" t="s">
        <v>97</v>
      </c>
      <c r="C78" s="36">
        <f t="shared" si="39"/>
        <v>29609.083333333332</v>
      </c>
      <c r="D78" s="36">
        <f t="shared" si="46"/>
        <v>29609.083333333332</v>
      </c>
      <c r="E78" s="36">
        <f t="shared" si="46"/>
        <v>29609.083333333332</v>
      </c>
      <c r="F78" s="36">
        <f t="shared" ref="F78:G78" si="51">F9-F43</f>
        <v>29609.083333333332</v>
      </c>
      <c r="G78" s="36">
        <f t="shared" si="51"/>
        <v>29609.083333333332</v>
      </c>
      <c r="H78" s="36">
        <f t="shared" ref="H78:I78" si="52">H9-H43</f>
        <v>29609.083333333332</v>
      </c>
      <c r="I78" s="36">
        <f t="shared" si="52"/>
        <v>29609.083333333332</v>
      </c>
      <c r="J78" s="36">
        <f t="shared" ref="J78:K78" si="53">J9-J43</f>
        <v>29609.083333333332</v>
      </c>
      <c r="K78" s="36">
        <f t="shared" si="53"/>
        <v>29609.083333333332</v>
      </c>
      <c r="L78" s="36">
        <f t="shared" ref="L78:N78" si="54">L9-L43</f>
        <v>29609.083333333332</v>
      </c>
      <c r="M78" s="36">
        <f t="shared" si="54"/>
        <v>29609.083333333332</v>
      </c>
      <c r="N78" s="36">
        <f t="shared" si="54"/>
        <v>29609.083333333332</v>
      </c>
      <c r="O78" s="52">
        <f t="shared" si="45"/>
        <v>355308.99999999994</v>
      </c>
    </row>
    <row r="79" spans="1:16" hidden="1">
      <c r="B79" s="12" t="s">
        <v>33</v>
      </c>
      <c r="C79" s="36">
        <f t="shared" si="39"/>
        <v>0</v>
      </c>
      <c r="D79" s="36">
        <f t="shared" si="46"/>
        <v>0</v>
      </c>
      <c r="E79" s="36">
        <f t="shared" si="46"/>
        <v>0</v>
      </c>
      <c r="F79" s="36">
        <f t="shared" ref="F79:G79" si="55">F10-F44</f>
        <v>0</v>
      </c>
      <c r="G79" s="36">
        <f t="shared" si="55"/>
        <v>0</v>
      </c>
      <c r="H79" s="36">
        <f t="shared" ref="H79:I79" si="56">H10-H44</f>
        <v>0</v>
      </c>
      <c r="I79" s="36">
        <f t="shared" si="56"/>
        <v>0</v>
      </c>
      <c r="J79" s="36">
        <f t="shared" ref="J79:K79" si="57">J10-J44</f>
        <v>0</v>
      </c>
      <c r="K79" s="36">
        <f t="shared" si="57"/>
        <v>0</v>
      </c>
      <c r="L79" s="36">
        <f t="shared" ref="L79:N79" si="58">L10-L44</f>
        <v>0</v>
      </c>
      <c r="M79" s="36">
        <f t="shared" si="58"/>
        <v>0</v>
      </c>
      <c r="N79" s="36">
        <f t="shared" si="58"/>
        <v>0</v>
      </c>
      <c r="O79" s="52">
        <f t="shared" si="45"/>
        <v>0</v>
      </c>
    </row>
    <row r="80" spans="1:16" hidden="1">
      <c r="B80" s="12" t="s">
        <v>34</v>
      </c>
      <c r="C80" s="36">
        <f t="shared" si="39"/>
        <v>0</v>
      </c>
      <c r="D80" s="36">
        <f t="shared" si="46"/>
        <v>0</v>
      </c>
      <c r="E80" s="36">
        <f t="shared" si="46"/>
        <v>0</v>
      </c>
      <c r="F80" s="36">
        <f t="shared" ref="F80:G80" si="59">F11-F45</f>
        <v>0</v>
      </c>
      <c r="G80" s="36">
        <f t="shared" si="59"/>
        <v>0</v>
      </c>
      <c r="H80" s="36">
        <f t="shared" ref="H80:I80" si="60">H11-H45</f>
        <v>0</v>
      </c>
      <c r="I80" s="36">
        <f t="shared" si="60"/>
        <v>0</v>
      </c>
      <c r="J80" s="36">
        <f t="shared" ref="J80:K80" si="61">J11-J45</f>
        <v>0</v>
      </c>
      <c r="K80" s="36">
        <f t="shared" si="61"/>
        <v>0</v>
      </c>
      <c r="L80" s="36">
        <f t="shared" ref="L80:N80" si="62">L11-L45</f>
        <v>0</v>
      </c>
      <c r="M80" s="36">
        <f t="shared" si="62"/>
        <v>0</v>
      </c>
      <c r="N80" s="36">
        <f t="shared" si="62"/>
        <v>0</v>
      </c>
      <c r="O80" s="52">
        <f t="shared" si="45"/>
        <v>0</v>
      </c>
    </row>
    <row r="81" spans="1:15" hidden="1">
      <c r="B81" s="12" t="s">
        <v>35</v>
      </c>
      <c r="C81" s="36">
        <f t="shared" si="39"/>
        <v>0</v>
      </c>
      <c r="D81" s="36">
        <f t="shared" si="46"/>
        <v>0</v>
      </c>
      <c r="E81" s="36">
        <f t="shared" si="46"/>
        <v>0</v>
      </c>
      <c r="F81" s="36">
        <f t="shared" ref="F81:G81" si="63">F12-F46</f>
        <v>0</v>
      </c>
      <c r="G81" s="36">
        <f t="shared" si="63"/>
        <v>0</v>
      </c>
      <c r="H81" s="36">
        <f t="shared" ref="H81:I81" si="64">H12-H46</f>
        <v>0</v>
      </c>
      <c r="I81" s="36">
        <f t="shared" si="64"/>
        <v>0</v>
      </c>
      <c r="J81" s="36">
        <f t="shared" ref="J81:K81" si="65">J12-J46</f>
        <v>0</v>
      </c>
      <c r="K81" s="36">
        <f t="shared" si="65"/>
        <v>0</v>
      </c>
      <c r="L81" s="36">
        <f t="shared" ref="L81:N81" si="66">L12-L46</f>
        <v>0</v>
      </c>
      <c r="M81" s="36">
        <f t="shared" si="66"/>
        <v>0</v>
      </c>
      <c r="N81" s="36">
        <f t="shared" si="66"/>
        <v>0</v>
      </c>
      <c r="O81" s="52">
        <f t="shared" si="45"/>
        <v>0</v>
      </c>
    </row>
    <row r="82" spans="1:15" hidden="1">
      <c r="B82" s="12" t="s">
        <v>36</v>
      </c>
      <c r="C82" s="36">
        <f t="shared" si="39"/>
        <v>0</v>
      </c>
      <c r="D82" s="36">
        <f t="shared" si="46"/>
        <v>0</v>
      </c>
      <c r="E82" s="36">
        <f t="shared" si="46"/>
        <v>0</v>
      </c>
      <c r="F82" s="36">
        <f t="shared" ref="F82:G82" si="67">F13-F47</f>
        <v>0</v>
      </c>
      <c r="G82" s="36">
        <f t="shared" si="67"/>
        <v>0</v>
      </c>
      <c r="H82" s="36">
        <f t="shared" ref="H82:I82" si="68">H13-H47</f>
        <v>0</v>
      </c>
      <c r="I82" s="36">
        <f t="shared" si="68"/>
        <v>0</v>
      </c>
      <c r="J82" s="36">
        <f t="shared" ref="J82:K82" si="69">J13-J47</f>
        <v>0</v>
      </c>
      <c r="K82" s="36">
        <f t="shared" si="69"/>
        <v>0</v>
      </c>
      <c r="L82" s="36">
        <f t="shared" ref="L82:N82" si="70">L13-L47</f>
        <v>0</v>
      </c>
      <c r="M82" s="36">
        <f t="shared" si="70"/>
        <v>0</v>
      </c>
      <c r="N82" s="36">
        <f t="shared" si="70"/>
        <v>0</v>
      </c>
      <c r="O82" s="52">
        <f t="shared" si="45"/>
        <v>0</v>
      </c>
    </row>
    <row r="83" spans="1:15">
      <c r="A83" t="s">
        <v>79</v>
      </c>
      <c r="B83" s="11" t="s">
        <v>41</v>
      </c>
      <c r="C83" s="19">
        <f t="shared" si="39"/>
        <v>-9393.0100000000675</v>
      </c>
      <c r="D83" s="19">
        <f t="shared" si="46"/>
        <v>132188.04999999993</v>
      </c>
      <c r="E83" s="19">
        <f t="shared" si="46"/>
        <v>117266.50999999995</v>
      </c>
      <c r="F83" s="19">
        <f t="shared" ref="F83:G83" si="71">F14-F48</f>
        <v>295330.49999999994</v>
      </c>
      <c r="G83" s="19">
        <f t="shared" si="71"/>
        <v>295330.49999999994</v>
      </c>
      <c r="H83" s="19">
        <f t="shared" ref="H83:I83" si="72">H14-H48</f>
        <v>295330.49999999994</v>
      </c>
      <c r="I83" s="19">
        <f t="shared" si="72"/>
        <v>295330.49999999994</v>
      </c>
      <c r="J83" s="19">
        <f t="shared" ref="J83:K83" si="73">J14-J48</f>
        <v>295330.49999999994</v>
      </c>
      <c r="K83" s="19">
        <f t="shared" si="73"/>
        <v>295330.49999999994</v>
      </c>
      <c r="L83" s="19">
        <f t="shared" ref="L83:N83" si="74">L14-L48</f>
        <v>295330.49999999994</v>
      </c>
      <c r="M83" s="19">
        <f t="shared" si="74"/>
        <v>295330.49999999994</v>
      </c>
      <c r="N83" s="19">
        <f t="shared" si="74"/>
        <v>295330.49999999994</v>
      </c>
      <c r="O83" s="53">
        <f t="shared" ref="O83" si="75">SUM(O76:O82)</f>
        <v>2898036.0500000003</v>
      </c>
    </row>
    <row r="84" spans="1:15">
      <c r="B84" s="1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56"/>
    </row>
    <row r="85" spans="1:15">
      <c r="B85" s="11" t="s">
        <v>73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2"/>
    </row>
    <row r="86" spans="1:15">
      <c r="B86" s="12" t="s">
        <v>31</v>
      </c>
      <c r="C86" s="36">
        <f t="shared" ref="C86:E94" si="76">C17-C51</f>
        <v>-51360.71333333334</v>
      </c>
      <c r="D86" s="36">
        <f t="shared" si="76"/>
        <v>-5204.8033333333351</v>
      </c>
      <c r="E86" s="36">
        <f t="shared" si="76"/>
        <v>122.24666666666781</v>
      </c>
      <c r="F86" s="36">
        <f t="shared" ref="F86:G86" si="77">F17-F51</f>
        <v>15602.916666666666</v>
      </c>
      <c r="G86" s="36">
        <f t="shared" si="77"/>
        <v>15602.916666666666</v>
      </c>
      <c r="H86" s="36">
        <f t="shared" ref="H86:I86" si="78">H17-H51</f>
        <v>15602.916666666666</v>
      </c>
      <c r="I86" s="36">
        <f t="shared" si="78"/>
        <v>15602.916666666666</v>
      </c>
      <c r="J86" s="36">
        <f t="shared" ref="J86:K86" si="79">J17-J51</f>
        <v>15602.916666666666</v>
      </c>
      <c r="K86" s="36">
        <f t="shared" si="79"/>
        <v>15602.916666666666</v>
      </c>
      <c r="L86" s="36">
        <f t="shared" ref="L86:N86" si="80">L17-L51</f>
        <v>15602.916666666666</v>
      </c>
      <c r="M86" s="36">
        <f t="shared" si="80"/>
        <v>15602.916666666666</v>
      </c>
      <c r="N86" s="36">
        <f t="shared" si="80"/>
        <v>15602.916666666666</v>
      </c>
      <c r="O86" s="52">
        <f t="shared" ref="O86:O93" si="81">SUM(C86:N86)</f>
        <v>83982.979999999981</v>
      </c>
    </row>
    <row r="87" spans="1:15">
      <c r="B87" s="12" t="s">
        <v>32</v>
      </c>
      <c r="C87" s="36">
        <f t="shared" si="76"/>
        <v>3739.35</v>
      </c>
      <c r="D87" s="36">
        <f t="shared" si="76"/>
        <v>3886.04</v>
      </c>
      <c r="E87" s="36">
        <f t="shared" si="76"/>
        <v>-36646.270000000004</v>
      </c>
      <c r="F87" s="36">
        <f t="shared" ref="F87:G87" si="82">F18-F52</f>
        <v>7437.5</v>
      </c>
      <c r="G87" s="36">
        <f t="shared" si="82"/>
        <v>7437.5</v>
      </c>
      <c r="H87" s="36">
        <f t="shared" ref="H87:I87" si="83">H18-H52</f>
        <v>7437.5</v>
      </c>
      <c r="I87" s="36">
        <f t="shared" si="83"/>
        <v>7437.5</v>
      </c>
      <c r="J87" s="36">
        <f t="shared" ref="J87:K87" si="84">J18-J52</f>
        <v>7437.5</v>
      </c>
      <c r="K87" s="36">
        <f t="shared" si="84"/>
        <v>7437.5</v>
      </c>
      <c r="L87" s="36">
        <f t="shared" ref="L87:N87" si="85">L18-L52</f>
        <v>7437.5</v>
      </c>
      <c r="M87" s="36">
        <f t="shared" si="85"/>
        <v>7437.5</v>
      </c>
      <c r="N87" s="36">
        <f t="shared" si="85"/>
        <v>7437.5</v>
      </c>
      <c r="O87" s="52">
        <f t="shared" si="81"/>
        <v>37916.619999999995</v>
      </c>
    </row>
    <row r="88" spans="1:15">
      <c r="B88" s="12" t="s">
        <v>97</v>
      </c>
      <c r="C88" s="36">
        <f t="shared" si="76"/>
        <v>3658.2833333333328</v>
      </c>
      <c r="D88" s="36">
        <f t="shared" si="76"/>
        <v>4483.5333333333328</v>
      </c>
      <c r="E88" s="36">
        <f t="shared" si="76"/>
        <v>668.54333333333307</v>
      </c>
      <c r="F88" s="36">
        <f t="shared" ref="F88:G88" si="86">F19-F53</f>
        <v>4441.333333333333</v>
      </c>
      <c r="G88" s="36">
        <f t="shared" si="86"/>
        <v>4441.333333333333</v>
      </c>
      <c r="H88" s="36">
        <f t="shared" ref="H88:I88" si="87">H19-H53</f>
        <v>4441.333333333333</v>
      </c>
      <c r="I88" s="36">
        <f t="shared" si="87"/>
        <v>4441.333333333333</v>
      </c>
      <c r="J88" s="36">
        <f t="shared" ref="J88:K88" si="88">J19-J53</f>
        <v>4441.333333333333</v>
      </c>
      <c r="K88" s="36">
        <f t="shared" si="88"/>
        <v>4441.333333333333</v>
      </c>
      <c r="L88" s="36">
        <f t="shared" ref="L88:N88" si="89">L19-L53</f>
        <v>4441.333333333333</v>
      </c>
      <c r="M88" s="36">
        <f t="shared" si="89"/>
        <v>4441.333333333333</v>
      </c>
      <c r="N88" s="36">
        <f t="shared" si="89"/>
        <v>4441.333333333333</v>
      </c>
      <c r="O88" s="52">
        <f t="shared" si="81"/>
        <v>48782.36</v>
      </c>
    </row>
    <row r="89" spans="1:15" hidden="1">
      <c r="B89" s="12" t="s">
        <v>33</v>
      </c>
      <c r="C89" s="36">
        <f t="shared" si="76"/>
        <v>0</v>
      </c>
      <c r="D89" s="36">
        <f t="shared" si="76"/>
        <v>0</v>
      </c>
      <c r="E89" s="36">
        <f t="shared" si="76"/>
        <v>0</v>
      </c>
      <c r="F89" s="36">
        <f t="shared" ref="F89:G89" si="90">F20-F54</f>
        <v>0</v>
      </c>
      <c r="G89" s="36">
        <f t="shared" si="90"/>
        <v>0</v>
      </c>
      <c r="H89" s="36">
        <f t="shared" ref="H89:I89" si="91">H20-H54</f>
        <v>0</v>
      </c>
      <c r="I89" s="36">
        <f t="shared" si="91"/>
        <v>0</v>
      </c>
      <c r="J89" s="36">
        <f t="shared" ref="J89:K89" si="92">J20-J54</f>
        <v>0</v>
      </c>
      <c r="K89" s="36">
        <f t="shared" si="92"/>
        <v>0</v>
      </c>
      <c r="L89" s="36">
        <f t="shared" ref="L89:N89" si="93">L20-L54</f>
        <v>0</v>
      </c>
      <c r="M89" s="36">
        <f t="shared" si="93"/>
        <v>0</v>
      </c>
      <c r="N89" s="36">
        <f t="shared" si="93"/>
        <v>0</v>
      </c>
      <c r="O89" s="52">
        <f t="shared" si="81"/>
        <v>0</v>
      </c>
    </row>
    <row r="90" spans="1:15" hidden="1">
      <c r="B90" s="12" t="s">
        <v>34</v>
      </c>
      <c r="C90" s="36">
        <f t="shared" si="76"/>
        <v>0</v>
      </c>
      <c r="D90" s="36">
        <f t="shared" si="76"/>
        <v>0</v>
      </c>
      <c r="E90" s="36">
        <f t="shared" si="76"/>
        <v>0</v>
      </c>
      <c r="F90" s="36">
        <f t="shared" ref="F90:G90" si="94">F21-F55</f>
        <v>0</v>
      </c>
      <c r="G90" s="36">
        <f t="shared" si="94"/>
        <v>0</v>
      </c>
      <c r="H90" s="36">
        <f t="shared" ref="H90:I90" si="95">H21-H55</f>
        <v>0</v>
      </c>
      <c r="I90" s="36">
        <f t="shared" si="95"/>
        <v>0</v>
      </c>
      <c r="J90" s="36">
        <f t="shared" ref="J90:K90" si="96">J21-J55</f>
        <v>0</v>
      </c>
      <c r="K90" s="36">
        <f t="shared" si="96"/>
        <v>0</v>
      </c>
      <c r="L90" s="36">
        <f t="shared" ref="L90:N90" si="97">L21-L55</f>
        <v>0</v>
      </c>
      <c r="M90" s="36">
        <f t="shared" si="97"/>
        <v>0</v>
      </c>
      <c r="N90" s="36">
        <f t="shared" si="97"/>
        <v>0</v>
      </c>
      <c r="O90" s="52">
        <f t="shared" si="81"/>
        <v>0</v>
      </c>
    </row>
    <row r="91" spans="1:15">
      <c r="B91" s="12" t="s">
        <v>35</v>
      </c>
      <c r="C91" s="36">
        <f t="shared" si="76"/>
        <v>52950.64</v>
      </c>
      <c r="D91" s="36">
        <f t="shared" si="76"/>
        <v>52698.49</v>
      </c>
      <c r="E91" s="36">
        <f t="shared" si="76"/>
        <v>52739.77</v>
      </c>
      <c r="F91" s="36">
        <f t="shared" ref="F91:G92" si="98">F22-F56</f>
        <v>54000</v>
      </c>
      <c r="G91" s="36">
        <f t="shared" si="98"/>
        <v>54000</v>
      </c>
      <c r="H91" s="36">
        <f t="shared" ref="H91:I92" si="99">H22-H56</f>
        <v>54000</v>
      </c>
      <c r="I91" s="36">
        <f t="shared" si="99"/>
        <v>54000</v>
      </c>
      <c r="J91" s="36">
        <f t="shared" ref="J91:K92" si="100">J22-J56</f>
        <v>54000</v>
      </c>
      <c r="K91" s="36">
        <f t="shared" si="100"/>
        <v>54000</v>
      </c>
      <c r="L91" s="36">
        <f t="shared" ref="L91:N92" si="101">L22-L56</f>
        <v>54000</v>
      </c>
      <c r="M91" s="36">
        <f t="shared" si="101"/>
        <v>54000</v>
      </c>
      <c r="N91" s="36">
        <f t="shared" si="101"/>
        <v>54000</v>
      </c>
      <c r="O91" s="52">
        <f t="shared" si="81"/>
        <v>644388.9</v>
      </c>
    </row>
    <row r="92" spans="1:15">
      <c r="B92" s="12" t="s">
        <v>99</v>
      </c>
      <c r="C92" s="36">
        <f t="shared" si="76"/>
        <v>-1021.6866666666683</v>
      </c>
      <c r="D92" s="36">
        <f t="shared" si="76"/>
        <v>-4745.2966666666689</v>
      </c>
      <c r="E92" s="36">
        <f t="shared" si="76"/>
        <v>-23726.576666666671</v>
      </c>
      <c r="F92" s="36">
        <f t="shared" si="98"/>
        <v>16433.333333333332</v>
      </c>
      <c r="G92" s="36">
        <f t="shared" si="98"/>
        <v>16433.333333333332</v>
      </c>
      <c r="H92" s="36">
        <f t="shared" si="99"/>
        <v>16433.333333333332</v>
      </c>
      <c r="I92" s="36">
        <f t="shared" si="99"/>
        <v>16433.333333333332</v>
      </c>
      <c r="J92" s="36">
        <f t="shared" si="100"/>
        <v>16433.333333333332</v>
      </c>
      <c r="K92" s="36">
        <f t="shared" si="100"/>
        <v>16433.333333333332</v>
      </c>
      <c r="L92" s="36">
        <f t="shared" si="101"/>
        <v>16433.333333333332</v>
      </c>
      <c r="M92" s="36">
        <f t="shared" si="101"/>
        <v>16433.333333333332</v>
      </c>
      <c r="N92" s="36">
        <f t="shared" si="101"/>
        <v>16433.333333333332</v>
      </c>
      <c r="O92" s="52">
        <f t="shared" ref="O92" si="102">SUM(C92:N92)</f>
        <v>118406.43999999996</v>
      </c>
    </row>
    <row r="93" spans="1:15">
      <c r="B93" s="12" t="s">
        <v>36</v>
      </c>
      <c r="C93" s="36">
        <f t="shared" si="76"/>
        <v>-16015.920000000006</v>
      </c>
      <c r="D93" s="36">
        <f t="shared" si="76"/>
        <v>-27397.72</v>
      </c>
      <c r="E93" s="36">
        <f t="shared" si="76"/>
        <v>-29232.67</v>
      </c>
      <c r="F93" s="36">
        <f t="shared" ref="F93:G93" si="103">F24-F58</f>
        <v>28506.75</v>
      </c>
      <c r="G93" s="36">
        <f t="shared" si="103"/>
        <v>28506.75</v>
      </c>
      <c r="H93" s="36">
        <f t="shared" ref="H93:I93" si="104">H24-H58</f>
        <v>28506.75</v>
      </c>
      <c r="I93" s="36">
        <f t="shared" si="104"/>
        <v>28506.75</v>
      </c>
      <c r="J93" s="36">
        <f t="shared" ref="J93:K93" si="105">J24-J58</f>
        <v>28506.75</v>
      </c>
      <c r="K93" s="36">
        <f t="shared" si="105"/>
        <v>28506.75</v>
      </c>
      <c r="L93" s="36">
        <f t="shared" ref="L93:N93" si="106">L24-L58</f>
        <v>28506.75</v>
      </c>
      <c r="M93" s="36">
        <f t="shared" si="106"/>
        <v>28506.75</v>
      </c>
      <c r="N93" s="36">
        <f t="shared" si="106"/>
        <v>28506.75</v>
      </c>
      <c r="O93" s="52">
        <f t="shared" si="81"/>
        <v>183914.44</v>
      </c>
    </row>
    <row r="94" spans="1:15">
      <c r="A94" t="s">
        <v>80</v>
      </c>
      <c r="B94" s="11" t="s">
        <v>41</v>
      </c>
      <c r="C94" s="19">
        <f t="shared" si="76"/>
        <v>-8050.0466666666762</v>
      </c>
      <c r="D94" s="19">
        <f t="shared" si="76"/>
        <v>23720.243333333332</v>
      </c>
      <c r="E94" s="19">
        <f t="shared" si="76"/>
        <v>-36074.95666666668</v>
      </c>
      <c r="F94" s="19">
        <f t="shared" ref="F94:G94" si="107">F25-F59</f>
        <v>126421.83333333333</v>
      </c>
      <c r="G94" s="19">
        <f t="shared" si="107"/>
        <v>126421.83333333333</v>
      </c>
      <c r="H94" s="19">
        <f t="shared" ref="H94:I94" si="108">H25-H59</f>
        <v>126421.83333333333</v>
      </c>
      <c r="I94" s="19">
        <f t="shared" si="108"/>
        <v>126421.83333333333</v>
      </c>
      <c r="J94" s="19">
        <f t="shared" ref="J94:K94" si="109">J25-J59</f>
        <v>126421.83333333333</v>
      </c>
      <c r="K94" s="19">
        <f t="shared" si="109"/>
        <v>126421.83333333333</v>
      </c>
      <c r="L94" s="19">
        <f t="shared" ref="L94:N94" si="110">L25-L59</f>
        <v>126421.83333333333</v>
      </c>
      <c r="M94" s="19">
        <f t="shared" si="110"/>
        <v>126421.83333333333</v>
      </c>
      <c r="N94" s="19">
        <f t="shared" si="110"/>
        <v>126421.83333333333</v>
      </c>
      <c r="O94" s="53">
        <f t="shared" ref="O94" si="111">SUM(O86:O93)</f>
        <v>1117391.74</v>
      </c>
    </row>
    <row r="95" spans="1:15">
      <c r="B95" s="11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56"/>
    </row>
    <row r="96" spans="1:15">
      <c r="B96" s="11" t="s">
        <v>74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56"/>
    </row>
    <row r="97" spans="1:15">
      <c r="B97" s="12" t="s">
        <v>31</v>
      </c>
      <c r="C97" s="36">
        <f t="shared" ref="C97:E105" si="112">C28-C62</f>
        <v>7824.7666666666664</v>
      </c>
      <c r="D97" s="36">
        <f t="shared" si="112"/>
        <v>7859.8166666666657</v>
      </c>
      <c r="E97" s="36">
        <f t="shared" si="112"/>
        <v>7145.6066666666666</v>
      </c>
      <c r="F97" s="36">
        <f t="shared" ref="F97:G97" si="113">F28-F62</f>
        <v>9990.4166666666661</v>
      </c>
      <c r="G97" s="36">
        <f t="shared" si="113"/>
        <v>9990.4166666666661</v>
      </c>
      <c r="H97" s="36">
        <f t="shared" ref="H97:I97" si="114">H28-H62</f>
        <v>9990.4166666666661</v>
      </c>
      <c r="I97" s="36">
        <f t="shared" si="114"/>
        <v>9990.4166666666661</v>
      </c>
      <c r="J97" s="36">
        <f t="shared" ref="J97:K97" si="115">J28-J62</f>
        <v>9990.4166666666661</v>
      </c>
      <c r="K97" s="36">
        <f t="shared" si="115"/>
        <v>9990.4166666666661</v>
      </c>
      <c r="L97" s="36">
        <f t="shared" ref="L97:N97" si="116">L28-L62</f>
        <v>9990.4166666666661</v>
      </c>
      <c r="M97" s="36">
        <f t="shared" si="116"/>
        <v>9990.4166666666661</v>
      </c>
      <c r="N97" s="36">
        <f t="shared" si="116"/>
        <v>9990.4166666666661</v>
      </c>
      <c r="O97" s="52">
        <f t="shared" ref="O97:O104" si="117">SUM(C97:N97)</f>
        <v>112743.94000000002</v>
      </c>
    </row>
    <row r="98" spans="1:15">
      <c r="B98" s="12" t="s">
        <v>32</v>
      </c>
      <c r="C98" s="36">
        <f t="shared" si="112"/>
        <v>616.83333333333337</v>
      </c>
      <c r="D98" s="36">
        <f t="shared" si="112"/>
        <v>616.83333333333337</v>
      </c>
      <c r="E98" s="36">
        <f t="shared" si="112"/>
        <v>616.83333333333337</v>
      </c>
      <c r="F98" s="36">
        <f t="shared" ref="F98:G98" si="118">F29-F63</f>
        <v>616.83333333333337</v>
      </c>
      <c r="G98" s="36">
        <f t="shared" si="118"/>
        <v>616.83333333333337</v>
      </c>
      <c r="H98" s="36">
        <f t="shared" ref="H98:I98" si="119">H29-H63</f>
        <v>616.83333333333337</v>
      </c>
      <c r="I98" s="36">
        <f t="shared" si="119"/>
        <v>616.83333333333337</v>
      </c>
      <c r="J98" s="36">
        <f t="shared" ref="J98:K98" si="120">J29-J63</f>
        <v>616.83333333333337</v>
      </c>
      <c r="K98" s="36">
        <f t="shared" si="120"/>
        <v>616.83333333333337</v>
      </c>
      <c r="L98" s="36">
        <f t="shared" ref="L98:N98" si="121">L29-L63</f>
        <v>616.83333333333337</v>
      </c>
      <c r="M98" s="36">
        <f t="shared" si="121"/>
        <v>616.83333333333337</v>
      </c>
      <c r="N98" s="36">
        <f t="shared" si="121"/>
        <v>616.83333333333337</v>
      </c>
      <c r="O98" s="52">
        <f t="shared" si="117"/>
        <v>7401.9999999999991</v>
      </c>
    </row>
    <row r="99" spans="1:15">
      <c r="B99" s="12" t="s">
        <v>97</v>
      </c>
      <c r="C99" s="36">
        <f t="shared" si="112"/>
        <v>0</v>
      </c>
      <c r="D99" s="36">
        <f t="shared" si="112"/>
        <v>-130.74</v>
      </c>
      <c r="E99" s="36">
        <f t="shared" si="112"/>
        <v>0</v>
      </c>
      <c r="F99" s="36">
        <f t="shared" ref="F99:G99" si="122">F30-F64</f>
        <v>0</v>
      </c>
      <c r="G99" s="36">
        <f t="shared" si="122"/>
        <v>0</v>
      </c>
      <c r="H99" s="36">
        <f t="shared" ref="H99:I99" si="123">H30-H64</f>
        <v>0</v>
      </c>
      <c r="I99" s="36">
        <f t="shared" si="123"/>
        <v>0</v>
      </c>
      <c r="J99" s="36">
        <f t="shared" ref="J99:K99" si="124">J30-J64</f>
        <v>0</v>
      </c>
      <c r="K99" s="36">
        <f t="shared" si="124"/>
        <v>0</v>
      </c>
      <c r="L99" s="36">
        <f t="shared" ref="L99:N99" si="125">L30-L64</f>
        <v>0</v>
      </c>
      <c r="M99" s="36">
        <f t="shared" si="125"/>
        <v>0</v>
      </c>
      <c r="N99" s="36">
        <f t="shared" si="125"/>
        <v>0</v>
      </c>
      <c r="O99" s="52">
        <f t="shared" si="117"/>
        <v>-130.74</v>
      </c>
    </row>
    <row r="100" spans="1:15" hidden="1">
      <c r="B100" s="12" t="s">
        <v>33</v>
      </c>
      <c r="C100" s="36">
        <f t="shared" si="112"/>
        <v>0</v>
      </c>
      <c r="D100" s="36">
        <f t="shared" si="112"/>
        <v>0</v>
      </c>
      <c r="E100" s="36">
        <f t="shared" si="112"/>
        <v>0</v>
      </c>
      <c r="F100" s="36">
        <f t="shared" ref="F100:G100" si="126">F31-F65</f>
        <v>0</v>
      </c>
      <c r="G100" s="36">
        <f t="shared" si="126"/>
        <v>0</v>
      </c>
      <c r="H100" s="36">
        <f t="shared" ref="H100:I100" si="127">H31-H65</f>
        <v>0</v>
      </c>
      <c r="I100" s="36">
        <f t="shared" si="127"/>
        <v>0</v>
      </c>
      <c r="J100" s="36">
        <f t="shared" ref="J100:K100" si="128">J31-J65</f>
        <v>0</v>
      </c>
      <c r="K100" s="36">
        <f t="shared" si="128"/>
        <v>0</v>
      </c>
      <c r="L100" s="36">
        <f t="shared" ref="L100:N100" si="129">L31-L65</f>
        <v>0</v>
      </c>
      <c r="M100" s="36">
        <f t="shared" si="129"/>
        <v>0</v>
      </c>
      <c r="N100" s="36">
        <f t="shared" si="129"/>
        <v>0</v>
      </c>
      <c r="O100" s="52">
        <f t="shared" si="117"/>
        <v>0</v>
      </c>
    </row>
    <row r="101" spans="1:15" hidden="1">
      <c r="B101" s="12" t="s">
        <v>34</v>
      </c>
      <c r="C101" s="36">
        <f t="shared" si="112"/>
        <v>0</v>
      </c>
      <c r="D101" s="36">
        <f t="shared" si="112"/>
        <v>0</v>
      </c>
      <c r="E101" s="36">
        <f t="shared" si="112"/>
        <v>0</v>
      </c>
      <c r="F101" s="36">
        <f t="shared" ref="F101:G101" si="130">F32-F66</f>
        <v>0</v>
      </c>
      <c r="G101" s="36">
        <f t="shared" si="130"/>
        <v>0</v>
      </c>
      <c r="H101" s="36">
        <f t="shared" ref="H101:I101" si="131">H32-H66</f>
        <v>0</v>
      </c>
      <c r="I101" s="36">
        <f t="shared" si="131"/>
        <v>0</v>
      </c>
      <c r="J101" s="36">
        <f t="shared" ref="J101:K101" si="132">J32-J66</f>
        <v>0</v>
      </c>
      <c r="K101" s="36">
        <f t="shared" si="132"/>
        <v>0</v>
      </c>
      <c r="L101" s="36">
        <f t="shared" ref="L101:N101" si="133">L32-L66</f>
        <v>0</v>
      </c>
      <c r="M101" s="36">
        <f t="shared" si="133"/>
        <v>0</v>
      </c>
      <c r="N101" s="36">
        <f t="shared" si="133"/>
        <v>0</v>
      </c>
      <c r="O101" s="52">
        <f t="shared" si="117"/>
        <v>0</v>
      </c>
    </row>
    <row r="102" spans="1:15">
      <c r="B102" s="12" t="s">
        <v>35</v>
      </c>
      <c r="C102" s="36">
        <f t="shared" si="112"/>
        <v>0</v>
      </c>
      <c r="D102" s="36">
        <f t="shared" si="112"/>
        <v>0</v>
      </c>
      <c r="E102" s="36">
        <f t="shared" si="112"/>
        <v>0</v>
      </c>
      <c r="F102" s="36">
        <f t="shared" ref="F102:G103" si="134">F33-F67</f>
        <v>0</v>
      </c>
      <c r="G102" s="36">
        <f t="shared" si="134"/>
        <v>0</v>
      </c>
      <c r="H102" s="36">
        <f t="shared" ref="H102:I103" si="135">H33-H67</f>
        <v>0</v>
      </c>
      <c r="I102" s="36">
        <f t="shared" si="135"/>
        <v>0</v>
      </c>
      <c r="J102" s="36">
        <f t="shared" ref="J102:K103" si="136">J33-J67</f>
        <v>0</v>
      </c>
      <c r="K102" s="36">
        <f t="shared" si="136"/>
        <v>0</v>
      </c>
      <c r="L102" s="36">
        <f t="shared" ref="L102:N103" si="137">L33-L67</f>
        <v>0</v>
      </c>
      <c r="M102" s="36">
        <f t="shared" si="137"/>
        <v>0</v>
      </c>
      <c r="N102" s="36">
        <f t="shared" si="137"/>
        <v>0</v>
      </c>
      <c r="O102" s="52">
        <f t="shared" si="117"/>
        <v>0</v>
      </c>
    </row>
    <row r="103" spans="1:15">
      <c r="B103" s="12" t="s">
        <v>99</v>
      </c>
      <c r="C103" s="36">
        <f t="shared" si="112"/>
        <v>3430</v>
      </c>
      <c r="D103" s="36">
        <f t="shared" si="112"/>
        <v>3430</v>
      </c>
      <c r="E103" s="36">
        <f t="shared" si="112"/>
        <v>3430</v>
      </c>
      <c r="F103" s="36">
        <f t="shared" si="134"/>
        <v>3430</v>
      </c>
      <c r="G103" s="36">
        <f t="shared" si="134"/>
        <v>3430</v>
      </c>
      <c r="H103" s="36">
        <f t="shared" si="135"/>
        <v>3430</v>
      </c>
      <c r="I103" s="36">
        <f t="shared" si="135"/>
        <v>3430</v>
      </c>
      <c r="J103" s="36">
        <f t="shared" si="136"/>
        <v>3430</v>
      </c>
      <c r="K103" s="36">
        <f t="shared" si="136"/>
        <v>3430</v>
      </c>
      <c r="L103" s="36">
        <f t="shared" si="137"/>
        <v>3430</v>
      </c>
      <c r="M103" s="36">
        <f t="shared" si="137"/>
        <v>3430</v>
      </c>
      <c r="N103" s="36">
        <f t="shared" si="137"/>
        <v>3430</v>
      </c>
      <c r="O103" s="52">
        <f t="shared" ref="O103" si="138">SUM(C103:N103)</f>
        <v>41160</v>
      </c>
    </row>
    <row r="104" spans="1:15">
      <c r="B104" s="12" t="s">
        <v>36</v>
      </c>
      <c r="C104" s="36">
        <f t="shared" si="112"/>
        <v>49596.083333333336</v>
      </c>
      <c r="D104" s="36">
        <f t="shared" si="112"/>
        <v>49596.083333333336</v>
      </c>
      <c r="E104" s="36">
        <f t="shared" si="112"/>
        <v>49596.083333333336</v>
      </c>
      <c r="F104" s="36">
        <f t="shared" ref="F104:G104" si="139">F35-F69</f>
        <v>49596.083333333336</v>
      </c>
      <c r="G104" s="36">
        <f t="shared" si="139"/>
        <v>49596.083333333336</v>
      </c>
      <c r="H104" s="36">
        <f t="shared" ref="H104:I104" si="140">H35-H69</f>
        <v>49596.083333333336</v>
      </c>
      <c r="I104" s="36">
        <f t="shared" si="140"/>
        <v>49596.083333333336</v>
      </c>
      <c r="J104" s="36">
        <f t="shared" ref="J104:K104" si="141">J35-J69</f>
        <v>49596.083333333336</v>
      </c>
      <c r="K104" s="36">
        <f t="shared" si="141"/>
        <v>49596.083333333336</v>
      </c>
      <c r="L104" s="36">
        <f t="shared" ref="L104:N104" si="142">L35-L69</f>
        <v>49596.083333333336</v>
      </c>
      <c r="M104" s="36">
        <f t="shared" si="142"/>
        <v>49596.083333333336</v>
      </c>
      <c r="N104" s="36">
        <f t="shared" si="142"/>
        <v>49596.083333333336</v>
      </c>
      <c r="O104" s="52">
        <f t="shared" si="117"/>
        <v>595153</v>
      </c>
    </row>
    <row r="105" spans="1:15">
      <c r="A105" t="s">
        <v>81</v>
      </c>
      <c r="B105" s="11" t="s">
        <v>41</v>
      </c>
      <c r="C105" s="19">
        <f t="shared" si="112"/>
        <v>61467.683333333334</v>
      </c>
      <c r="D105" s="19">
        <f t="shared" si="112"/>
        <v>61371.993333333332</v>
      </c>
      <c r="E105" s="19">
        <f t="shared" si="112"/>
        <v>60788.523333333338</v>
      </c>
      <c r="F105" s="19">
        <f t="shared" ref="F105:G105" si="143">F36-F70</f>
        <v>63633.333333333336</v>
      </c>
      <c r="G105" s="19">
        <f t="shared" si="143"/>
        <v>63633.333333333336</v>
      </c>
      <c r="H105" s="19">
        <f t="shared" ref="H105:I105" si="144">H36-H70</f>
        <v>63633.333333333336</v>
      </c>
      <c r="I105" s="19">
        <f t="shared" si="144"/>
        <v>63633.333333333336</v>
      </c>
      <c r="J105" s="19">
        <f t="shared" ref="J105:K105" si="145">J36-J70</f>
        <v>63633.333333333336</v>
      </c>
      <c r="K105" s="19">
        <f t="shared" si="145"/>
        <v>63633.333333333336</v>
      </c>
      <c r="L105" s="19">
        <f t="shared" ref="L105:N105" si="146">L36-L70</f>
        <v>63633.333333333336</v>
      </c>
      <c r="M105" s="19">
        <f t="shared" si="146"/>
        <v>63633.333333333336</v>
      </c>
      <c r="N105" s="19">
        <f t="shared" si="146"/>
        <v>63633.333333333336</v>
      </c>
      <c r="O105" s="53">
        <f t="shared" ref="O105" si="147">SUM(O97:O104)</f>
        <v>756328.2</v>
      </c>
    </row>
    <row r="106" spans="1:15">
      <c r="B106" s="11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56"/>
    </row>
    <row r="107" spans="1:15" ht="15.75" thickBot="1">
      <c r="B107" s="11" t="s">
        <v>41</v>
      </c>
      <c r="C107" s="38">
        <f>C38-C72</f>
        <v>44024.626666666591</v>
      </c>
      <c r="D107" s="38">
        <f t="shared" ref="D107:E107" si="148">D38-D72</f>
        <v>217280.28666666662</v>
      </c>
      <c r="E107" s="38">
        <f t="shared" si="148"/>
        <v>141980.07666666666</v>
      </c>
      <c r="F107" s="38">
        <f t="shared" ref="F107:G107" si="149">F38-F72</f>
        <v>485385.66666666663</v>
      </c>
      <c r="G107" s="38">
        <f t="shared" si="149"/>
        <v>485385.66666666663</v>
      </c>
      <c r="H107" s="38">
        <f t="shared" ref="H107:I107" si="150">H38-H72</f>
        <v>485385.66666666663</v>
      </c>
      <c r="I107" s="38">
        <f t="shared" si="150"/>
        <v>485385.66666666663</v>
      </c>
      <c r="J107" s="38">
        <f t="shared" ref="J107:K107" si="151">J38-J72</f>
        <v>485385.66666666663</v>
      </c>
      <c r="K107" s="38">
        <f t="shared" si="151"/>
        <v>485385.66666666663</v>
      </c>
      <c r="L107" s="38">
        <f t="shared" ref="L107:N107" si="152">L38-L72</f>
        <v>485385.66666666663</v>
      </c>
      <c r="M107" s="38">
        <f t="shared" si="152"/>
        <v>485385.66666666663</v>
      </c>
      <c r="N107" s="38">
        <f t="shared" si="152"/>
        <v>485385.66666666663</v>
      </c>
      <c r="O107" s="57">
        <f t="shared" ref="O107" si="153">O105+O94+O83</f>
        <v>4771755.99</v>
      </c>
    </row>
    <row r="108" spans="1:15" ht="15.75" thickTop="1">
      <c r="B108" s="9"/>
    </row>
    <row r="109" spans="1:15"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</row>
    <row r="115" spans="2:15">
      <c r="B115" s="96" t="s">
        <v>118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124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131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2:O112"/>
    <mergeCell ref="B115:O115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'ID-Sch191 Rider Balance'!J17</f>
        <v>-642636.67891676258</v>
      </c>
    </row>
    <row r="3" spans="1:2">
      <c r="A3" s="81"/>
    </row>
    <row r="4" spans="1:2">
      <c r="A4" s="81" t="s">
        <v>91</v>
      </c>
      <c r="B4" s="1">
        <v>1615000</v>
      </c>
    </row>
    <row r="5" spans="1:2">
      <c r="A5" s="81" t="s">
        <v>92</v>
      </c>
      <c r="B5" s="88">
        <f>SUM('ID-Sch191 Rider Balance'!K11:N11)</f>
        <v>692542.33333333337</v>
      </c>
    </row>
    <row r="6" spans="1:2">
      <c r="A6" s="81"/>
      <c r="B6" s="1">
        <f>B5-B4</f>
        <v>-922457.66666666663</v>
      </c>
    </row>
    <row r="8" spans="1:2">
      <c r="A8" s="81" t="s">
        <v>93</v>
      </c>
      <c r="B8" s="3">
        <f>B2+B6</f>
        <v>-1565094.3455834291</v>
      </c>
    </row>
    <row r="10" spans="1:2">
      <c r="A10" s="81" t="s">
        <v>94</v>
      </c>
      <c r="B10" s="1">
        <v>4076000</v>
      </c>
    </row>
    <row r="11" spans="1:2">
      <c r="A11" t="s">
        <v>95</v>
      </c>
      <c r="B11" s="89"/>
    </row>
    <row r="12" spans="1:2">
      <c r="B12" s="3">
        <f>B11-B10</f>
        <v>-4076000</v>
      </c>
    </row>
    <row r="14" spans="1:2">
      <c r="A14" t="s">
        <v>96</v>
      </c>
      <c r="B14" s="3">
        <f>B8+B12</f>
        <v>-5641094.3455834296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topLeftCell="A3"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14" width="10.5703125" bestFit="1" customWidth="1"/>
    <col min="15" max="15" width="11.28515625" bestFit="1" customWidth="1"/>
    <col min="16" max="16" width="11.5703125" bestFit="1" customWidth="1"/>
    <col min="17" max="18" width="10.5703125" bestFit="1" customWidth="1"/>
    <col min="19" max="19" width="9.7109375" bestFit="1" customWidth="1"/>
    <col min="21" max="21" width="9.7109375" bestFit="1" customWidth="1"/>
    <col min="22" max="32" width="11.28515625" bestFit="1" customWidth="1"/>
  </cols>
  <sheetData>
    <row r="2" spans="1:32">
      <c r="B2" s="39" t="s">
        <v>54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-642636.67891676258</v>
      </c>
      <c r="H5" s="1">
        <v>-642636.67891676258</v>
      </c>
      <c r="I5" s="1">
        <v>-642636.67891676258</v>
      </c>
      <c r="J5" s="1">
        <v>-642636.67891676258</v>
      </c>
      <c r="K5" s="1">
        <v>-642636.67891676258</v>
      </c>
      <c r="L5" s="1">
        <v>-642636.67891676258</v>
      </c>
      <c r="M5" s="1">
        <v>-642636.67891676258</v>
      </c>
      <c r="N5" s="1">
        <v>-642636.67891676258</v>
      </c>
      <c r="O5" s="40"/>
      <c r="P5" s="44">
        <v>814739.21</v>
      </c>
      <c r="Q5" s="47">
        <v>-642636.67891676258</v>
      </c>
      <c r="R5" s="47">
        <v>-642636.67891676258</v>
      </c>
      <c r="S5" s="47">
        <v>-642636.67891676258</v>
      </c>
      <c r="U5" s="47">
        <v>-1031313.9139030097</v>
      </c>
      <c r="V5" s="47">
        <v>-1031313.9139030097</v>
      </c>
      <c r="W5" s="47">
        <v>-1031313.9139030097</v>
      </c>
      <c r="X5" s="47">
        <v>-1031313.9139030097</v>
      </c>
      <c r="Y5" s="47">
        <v>-1031313.9139030097</v>
      </c>
      <c r="Z5" s="47">
        <v>-1031313.9139030097</v>
      </c>
      <c r="AA5" s="47">
        <v>-1031313.9139030097</v>
      </c>
      <c r="AB5" s="47">
        <v>-1031313.9139030097</v>
      </c>
      <c r="AC5" s="47">
        <v>-1031313.9139030097</v>
      </c>
      <c r="AD5" s="47">
        <v>-1031313.9139030097</v>
      </c>
      <c r="AE5" s="47">
        <v>-1031313.9139030097</v>
      </c>
      <c r="AF5" s="47">
        <v>-1031313.9139030097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1924133.4789167624</v>
      </c>
      <c r="P8" s="47">
        <v>1924133.4789167624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-178542.10663738914</v>
      </c>
      <c r="G9" s="22">
        <v>-113518.8265060413</v>
      </c>
      <c r="H9" s="22">
        <v>-73453.066107036051</v>
      </c>
      <c r="I9" s="22">
        <v>-65021.871841190557</v>
      </c>
      <c r="J9" s="22">
        <v>-70805.179941296214</v>
      </c>
      <c r="K9" s="22">
        <v>-79327.990981855401</v>
      </c>
      <c r="L9" s="22">
        <v>-182143.95911176447</v>
      </c>
      <c r="M9" s="22">
        <v>-305573.87273896503</v>
      </c>
      <c r="N9" s="22">
        <v>-429374.52891394874</v>
      </c>
      <c r="O9" s="48">
        <v>-558447.9271155938</v>
      </c>
      <c r="P9" s="48">
        <v>939313.47566389316</v>
      </c>
      <c r="Q9" s="48">
        <v>-365513.99925046647</v>
      </c>
      <c r="R9" s="48">
        <v>-215155.04276434219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466757.58999999997</v>
      </c>
      <c r="P12" s="47">
        <v>466757.58999999997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173135.58333333334</v>
      </c>
      <c r="G13" s="23">
        <v>173135.58333333334</v>
      </c>
      <c r="H13" s="23">
        <v>173135.58333333334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1610869.41</v>
      </c>
      <c r="P13" s="49">
        <v>52649.160000000033</v>
      </c>
      <c r="Q13" s="49">
        <v>519406.75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1457375.8889167625</v>
      </c>
      <c r="P15" s="45">
        <v>1457375.8889167625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-642636.67891676258</v>
      </c>
      <c r="G17" s="59">
        <v>-642636.67891676258</v>
      </c>
      <c r="H17" s="59">
        <v>-642636.67891676258</v>
      </c>
      <c r="I17" s="59">
        <v>-642636.67891676258</v>
      </c>
      <c r="J17" s="59">
        <v>-642636.67891676258</v>
      </c>
      <c r="K17" s="59">
        <v>-642636.67891676258</v>
      </c>
      <c r="L17" s="59">
        <v>-642636.67891676258</v>
      </c>
      <c r="M17" s="59">
        <v>-642636.67891676258</v>
      </c>
      <c r="N17" s="59">
        <v>-642636.67891676258</v>
      </c>
      <c r="O17" s="47"/>
      <c r="P17" s="47">
        <v>-642636.67891676258</v>
      </c>
      <c r="Q17" s="47">
        <v>-642636.67891676258</v>
      </c>
      <c r="R17" s="47">
        <v>-642636.67891676258</v>
      </c>
      <c r="S17" s="47">
        <v>-642636.67891676258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-648043.20222081838</v>
      </c>
      <c r="G19" s="3">
        <v>-583019.92208947055</v>
      </c>
      <c r="H19" s="3">
        <v>-542954.16169046529</v>
      </c>
      <c r="I19" s="3">
        <v>-534522.96742461983</v>
      </c>
      <c r="J19" s="3">
        <v>-540306.27552472544</v>
      </c>
      <c r="K19" s="3">
        <v>-548829.08656528464</v>
      </c>
      <c r="L19" s="3">
        <v>-651645.05469519366</v>
      </c>
      <c r="M19" s="3">
        <v>-775074.9683223943</v>
      </c>
      <c r="N19" s="3">
        <v>-1031313.9139030097</v>
      </c>
      <c r="O19" s="40"/>
      <c r="P19" s="47"/>
      <c r="Q19" s="40"/>
      <c r="R19" s="40"/>
      <c r="S19" s="40"/>
      <c r="U19" s="47">
        <v>-1031313.9139030097</v>
      </c>
      <c r="V19" s="47">
        <v>-1031313.9139030097</v>
      </c>
      <c r="W19" s="47">
        <v>-1031313.9139030097</v>
      </c>
      <c r="X19" s="47">
        <v>-1031313.9139030097</v>
      </c>
      <c r="Y19" s="47">
        <v>-1031313.9139030097</v>
      </c>
      <c r="Z19" s="47">
        <v>-1031313.9139030097</v>
      </c>
      <c r="AA19" s="47">
        <v>-1031313.9139030097</v>
      </c>
      <c r="AB19" s="47">
        <v>-1031313.9139030097</v>
      </c>
      <c r="AC19" s="47">
        <v>-1031313.9139030097</v>
      </c>
      <c r="AD19" s="47">
        <v>-1031313.9139030097</v>
      </c>
      <c r="AE19" s="47">
        <v>-1031313.9139030097</v>
      </c>
      <c r="AF19" s="47">
        <v>-1031313.9139030097</v>
      </c>
    </row>
    <row r="21" spans="2:32">
      <c r="B21" s="51" t="s">
        <v>26</v>
      </c>
    </row>
    <row r="22" spans="2:32">
      <c r="B22" s="96" t="s">
        <v>121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2:32">
      <c r="B23" s="96" t="s">
        <v>129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pans="2:32">
      <c r="B24" s="96" t="s">
        <v>135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6" t="s">
        <v>58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2:32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2:32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2:32" ht="30" customHeight="1">
      <c r="B28" s="96" t="s">
        <v>58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2:32">
      <c r="B29" s="96" t="s">
        <v>58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</row>
    <row r="30" spans="2:32">
      <c r="B30" s="96" t="s">
        <v>58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2:32">
      <c r="B31" s="96" t="s">
        <v>58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</sheetData>
  <mergeCells count="10">
    <mergeCell ref="B23:N23"/>
    <mergeCell ref="B25:N25"/>
    <mergeCell ref="B26:N26"/>
    <mergeCell ref="B22:O22"/>
    <mergeCell ref="B24:O24"/>
    <mergeCell ref="B31:N31"/>
    <mergeCell ref="B30:N30"/>
    <mergeCell ref="B29:N29"/>
    <mergeCell ref="B28:N28"/>
    <mergeCell ref="B27:N27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BD11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54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97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10408/12</f>
        <v>867.33333333333337</v>
      </c>
      <c r="D17" s="18">
        <f t="shared" ref="D17:N24" si="6">C17</f>
        <v>867.33333333333337</v>
      </c>
      <c r="E17" s="18">
        <f t="shared" si="6"/>
        <v>867.33333333333337</v>
      </c>
      <c r="F17" s="18">
        <f t="shared" si="6"/>
        <v>867.33333333333337</v>
      </c>
      <c r="G17" s="18">
        <f t="shared" si="6"/>
        <v>867.33333333333337</v>
      </c>
      <c r="H17" s="18">
        <f t="shared" si="6"/>
        <v>867.33333333333337</v>
      </c>
      <c r="I17" s="18">
        <f t="shared" si="6"/>
        <v>867.33333333333337</v>
      </c>
      <c r="J17" s="18">
        <f t="shared" si="6"/>
        <v>867.33333333333337</v>
      </c>
      <c r="K17" s="18">
        <f t="shared" si="6"/>
        <v>867.33333333333337</v>
      </c>
      <c r="L17" s="18">
        <f t="shared" si="6"/>
        <v>867.33333333333337</v>
      </c>
      <c r="M17" s="18">
        <f t="shared" si="6"/>
        <v>867.33333333333337</v>
      </c>
      <c r="N17" s="18">
        <f t="shared" si="6"/>
        <v>867.33333333333337</v>
      </c>
      <c r="O17" s="58">
        <f t="shared" ref="O17:O24" si="7">SUM(C17:N17)</f>
        <v>10408</v>
      </c>
    </row>
    <row r="18" spans="1:15">
      <c r="B18" s="5" t="s">
        <v>32</v>
      </c>
      <c r="C18" s="18">
        <v>0</v>
      </c>
      <c r="D18" s="18">
        <f t="shared" si="6"/>
        <v>0</v>
      </c>
      <c r="E18" s="18">
        <f t="shared" si="6"/>
        <v>0</v>
      </c>
      <c r="F18" s="18">
        <f t="shared" si="6"/>
        <v>0</v>
      </c>
      <c r="G18" s="18">
        <f t="shared" si="6"/>
        <v>0</v>
      </c>
      <c r="H18" s="18">
        <f t="shared" si="6"/>
        <v>0</v>
      </c>
      <c r="I18" s="18">
        <f t="shared" si="6"/>
        <v>0</v>
      </c>
      <c r="J18" s="18">
        <f t="shared" si="6"/>
        <v>0</v>
      </c>
      <c r="K18" s="18">
        <f t="shared" si="6"/>
        <v>0</v>
      </c>
      <c r="L18" s="18">
        <f t="shared" si="6"/>
        <v>0</v>
      </c>
      <c r="M18" s="18">
        <f t="shared" si="6"/>
        <v>0</v>
      </c>
      <c r="N18" s="18">
        <f t="shared" si="6"/>
        <v>0</v>
      </c>
      <c r="O18" s="52">
        <f t="shared" si="7"/>
        <v>0</v>
      </c>
    </row>
    <row r="19" spans="1:15">
      <c r="B19" s="5" t="s">
        <v>97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5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5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5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5">
      <c r="B23" s="5" t="s">
        <v>99</v>
      </c>
      <c r="C23" s="18">
        <f>49300/12</f>
        <v>4108.333333333333</v>
      </c>
      <c r="D23" s="18">
        <f t="shared" si="6"/>
        <v>4108.333333333333</v>
      </c>
      <c r="E23" s="18">
        <f t="shared" si="6"/>
        <v>4108.333333333333</v>
      </c>
      <c r="F23" s="18">
        <f t="shared" si="6"/>
        <v>4108.333333333333</v>
      </c>
      <c r="G23" s="18">
        <f t="shared" si="6"/>
        <v>4108.333333333333</v>
      </c>
      <c r="H23" s="18">
        <f t="shared" si="6"/>
        <v>4108.333333333333</v>
      </c>
      <c r="I23" s="18">
        <f t="shared" si="6"/>
        <v>4108.333333333333</v>
      </c>
      <c r="J23" s="18">
        <f t="shared" si="6"/>
        <v>4108.333333333333</v>
      </c>
      <c r="K23" s="18">
        <f t="shared" si="6"/>
        <v>4108.333333333333</v>
      </c>
      <c r="L23" s="18">
        <f t="shared" si="6"/>
        <v>4108.333333333333</v>
      </c>
      <c r="M23" s="18">
        <f t="shared" si="6"/>
        <v>4108.333333333333</v>
      </c>
      <c r="N23" s="18">
        <f t="shared" si="6"/>
        <v>4108.333333333333</v>
      </c>
      <c r="O23" s="52">
        <f t="shared" ref="O23" si="8">SUM(C23:N23)</f>
        <v>49300.000000000007</v>
      </c>
    </row>
    <row r="24" spans="1:15">
      <c r="B24" s="5" t="s">
        <v>36</v>
      </c>
      <c r="C24" s="18">
        <f>66080/12</f>
        <v>5506.666666666667</v>
      </c>
      <c r="D24" s="18">
        <f t="shared" si="6"/>
        <v>5506.666666666667</v>
      </c>
      <c r="E24" s="18">
        <f t="shared" si="6"/>
        <v>5506.666666666667</v>
      </c>
      <c r="F24" s="18">
        <f t="shared" si="6"/>
        <v>5506.666666666667</v>
      </c>
      <c r="G24" s="18">
        <f t="shared" si="6"/>
        <v>5506.666666666667</v>
      </c>
      <c r="H24" s="18">
        <f t="shared" si="6"/>
        <v>5506.666666666667</v>
      </c>
      <c r="I24" s="18">
        <f t="shared" si="6"/>
        <v>5506.666666666667</v>
      </c>
      <c r="J24" s="18">
        <f t="shared" si="6"/>
        <v>5506.666666666667</v>
      </c>
      <c r="K24" s="18">
        <f t="shared" si="6"/>
        <v>5506.666666666667</v>
      </c>
      <c r="L24" s="18">
        <f t="shared" si="6"/>
        <v>5506.666666666667</v>
      </c>
      <c r="M24" s="18">
        <f t="shared" si="6"/>
        <v>5506.666666666667</v>
      </c>
      <c r="N24" s="18">
        <f t="shared" si="6"/>
        <v>5506.666666666667</v>
      </c>
      <c r="O24" s="52">
        <f t="shared" si="7"/>
        <v>66079.999999999985</v>
      </c>
    </row>
    <row r="25" spans="1:15">
      <c r="A25" t="s">
        <v>21</v>
      </c>
      <c r="B25" s="9" t="s">
        <v>45</v>
      </c>
      <c r="C25" s="19">
        <f t="shared" ref="C25:N25" si="9">SUM(C17:C24)</f>
        <v>13650</v>
      </c>
      <c r="D25" s="19">
        <f t="shared" si="9"/>
        <v>13650</v>
      </c>
      <c r="E25" s="19">
        <f t="shared" si="9"/>
        <v>13650</v>
      </c>
      <c r="F25" s="19">
        <f t="shared" si="9"/>
        <v>13650</v>
      </c>
      <c r="G25" s="19">
        <f t="shared" si="9"/>
        <v>13650</v>
      </c>
      <c r="H25" s="19">
        <f t="shared" si="9"/>
        <v>13650</v>
      </c>
      <c r="I25" s="19">
        <f t="shared" si="9"/>
        <v>13650</v>
      </c>
      <c r="J25" s="19">
        <f t="shared" si="9"/>
        <v>13650</v>
      </c>
      <c r="K25" s="19">
        <f t="shared" si="9"/>
        <v>13650</v>
      </c>
      <c r="L25" s="19">
        <f t="shared" si="9"/>
        <v>13650</v>
      </c>
      <c r="M25" s="19">
        <f t="shared" si="9"/>
        <v>13650</v>
      </c>
      <c r="N25" s="19">
        <f t="shared" si="9"/>
        <v>13650</v>
      </c>
      <c r="O25" s="53">
        <f>SUM(O17:O24)</f>
        <v>163800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42029/12</f>
        <v>3502.4166666666665</v>
      </c>
      <c r="D28" s="18">
        <f t="shared" ref="D28:N35" si="10">C28</f>
        <v>3502.4166666666665</v>
      </c>
      <c r="E28" s="18">
        <f t="shared" si="10"/>
        <v>3502.4166666666665</v>
      </c>
      <c r="F28" s="18">
        <f t="shared" si="10"/>
        <v>3502.4166666666665</v>
      </c>
      <c r="G28" s="18">
        <f t="shared" si="10"/>
        <v>3502.4166666666665</v>
      </c>
      <c r="H28" s="18">
        <f t="shared" si="10"/>
        <v>3502.4166666666665</v>
      </c>
      <c r="I28" s="18">
        <f t="shared" si="10"/>
        <v>3502.4166666666665</v>
      </c>
      <c r="J28" s="18">
        <f t="shared" si="10"/>
        <v>3502.4166666666665</v>
      </c>
      <c r="K28" s="18">
        <f t="shared" si="10"/>
        <v>3502.4166666666665</v>
      </c>
      <c r="L28" s="18">
        <f t="shared" si="10"/>
        <v>3502.4166666666665</v>
      </c>
      <c r="M28" s="18">
        <f t="shared" si="10"/>
        <v>3502.4166666666665</v>
      </c>
      <c r="N28" s="18">
        <f t="shared" si="10"/>
        <v>3502.4166666666665</v>
      </c>
      <c r="O28" s="58">
        <f t="shared" ref="O28:O35" si="11">SUM(C28:N28)</f>
        <v>42029</v>
      </c>
    </row>
    <row r="29" spans="1:15">
      <c r="B29" s="5" t="s">
        <v>32</v>
      </c>
      <c r="C29" s="18">
        <f>2576/12</f>
        <v>214.66666666666666</v>
      </c>
      <c r="D29" s="18">
        <f t="shared" si="10"/>
        <v>214.66666666666666</v>
      </c>
      <c r="E29" s="18">
        <f t="shared" si="10"/>
        <v>214.66666666666666</v>
      </c>
      <c r="F29" s="18">
        <f t="shared" si="10"/>
        <v>214.66666666666666</v>
      </c>
      <c r="G29" s="18">
        <f t="shared" si="10"/>
        <v>214.66666666666666</v>
      </c>
      <c r="H29" s="18">
        <f t="shared" si="10"/>
        <v>214.66666666666666</v>
      </c>
      <c r="I29" s="18">
        <f t="shared" si="10"/>
        <v>214.66666666666666</v>
      </c>
      <c r="J29" s="18">
        <f t="shared" si="10"/>
        <v>214.66666666666666</v>
      </c>
      <c r="K29" s="18">
        <f t="shared" si="10"/>
        <v>214.66666666666666</v>
      </c>
      <c r="L29" s="18">
        <f t="shared" si="10"/>
        <v>214.66666666666666</v>
      </c>
      <c r="M29" s="18">
        <f t="shared" si="10"/>
        <v>214.66666666666666</v>
      </c>
      <c r="N29" s="18">
        <f t="shared" si="10"/>
        <v>214.66666666666666</v>
      </c>
      <c r="O29" s="52">
        <f t="shared" si="11"/>
        <v>2576</v>
      </c>
    </row>
    <row r="30" spans="1:15">
      <c r="B30" s="5" t="s">
        <v>97</v>
      </c>
      <c r="C30" s="18">
        <v>0</v>
      </c>
      <c r="D30" s="18">
        <f t="shared" si="10"/>
        <v>0</v>
      </c>
      <c r="E30" s="18">
        <f t="shared" si="10"/>
        <v>0</v>
      </c>
      <c r="F30" s="18">
        <f t="shared" si="10"/>
        <v>0</v>
      </c>
      <c r="G30" s="18">
        <f t="shared" si="10"/>
        <v>0</v>
      </c>
      <c r="H30" s="18">
        <f t="shared" si="10"/>
        <v>0</v>
      </c>
      <c r="I30" s="18">
        <f t="shared" si="10"/>
        <v>0</v>
      </c>
      <c r="J30" s="18">
        <f t="shared" si="10"/>
        <v>0</v>
      </c>
      <c r="K30" s="18">
        <f t="shared" si="10"/>
        <v>0</v>
      </c>
      <c r="L30" s="18">
        <f t="shared" si="10"/>
        <v>0</v>
      </c>
      <c r="M30" s="18">
        <f t="shared" si="10"/>
        <v>0</v>
      </c>
      <c r="N30" s="18">
        <f t="shared" si="10"/>
        <v>0</v>
      </c>
      <c r="O30" s="52">
        <f t="shared" si="11"/>
        <v>0</v>
      </c>
    </row>
    <row r="31" spans="1:15" hidden="1">
      <c r="B31" s="5" t="s">
        <v>33</v>
      </c>
      <c r="C31" s="18">
        <v>0</v>
      </c>
      <c r="D31" s="18">
        <f t="shared" si="10"/>
        <v>0</v>
      </c>
      <c r="E31" s="18">
        <f t="shared" si="10"/>
        <v>0</v>
      </c>
      <c r="F31" s="18">
        <f t="shared" si="10"/>
        <v>0</v>
      </c>
      <c r="G31" s="18">
        <f t="shared" si="10"/>
        <v>0</v>
      </c>
      <c r="H31" s="18">
        <f t="shared" si="10"/>
        <v>0</v>
      </c>
      <c r="I31" s="18">
        <f t="shared" si="10"/>
        <v>0</v>
      </c>
      <c r="J31" s="18">
        <f t="shared" si="10"/>
        <v>0</v>
      </c>
      <c r="K31" s="18">
        <f t="shared" si="10"/>
        <v>0</v>
      </c>
      <c r="L31" s="18">
        <f t="shared" si="10"/>
        <v>0</v>
      </c>
      <c r="M31" s="18">
        <f t="shared" si="10"/>
        <v>0</v>
      </c>
      <c r="N31" s="18">
        <f t="shared" si="10"/>
        <v>0</v>
      </c>
      <c r="O31" s="52">
        <f t="shared" si="11"/>
        <v>0</v>
      </c>
    </row>
    <row r="32" spans="1:15" hidden="1">
      <c r="B32" s="5" t="s">
        <v>34</v>
      </c>
      <c r="C32" s="18">
        <v>0</v>
      </c>
      <c r="D32" s="18">
        <f t="shared" si="10"/>
        <v>0</v>
      </c>
      <c r="E32" s="18">
        <f t="shared" si="10"/>
        <v>0</v>
      </c>
      <c r="F32" s="18">
        <f t="shared" si="10"/>
        <v>0</v>
      </c>
      <c r="G32" s="18">
        <f t="shared" si="10"/>
        <v>0</v>
      </c>
      <c r="H32" s="18">
        <f t="shared" si="10"/>
        <v>0</v>
      </c>
      <c r="I32" s="18">
        <f t="shared" si="10"/>
        <v>0</v>
      </c>
      <c r="J32" s="18">
        <f t="shared" si="10"/>
        <v>0</v>
      </c>
      <c r="K32" s="18">
        <f t="shared" si="10"/>
        <v>0</v>
      </c>
      <c r="L32" s="18">
        <f t="shared" si="10"/>
        <v>0</v>
      </c>
      <c r="M32" s="18">
        <f t="shared" si="10"/>
        <v>0</v>
      </c>
      <c r="N32" s="18">
        <f t="shared" si="10"/>
        <v>0</v>
      </c>
      <c r="O32" s="52">
        <f t="shared" si="11"/>
        <v>0</v>
      </c>
    </row>
    <row r="33" spans="1:16">
      <c r="B33" s="5" t="s">
        <v>35</v>
      </c>
      <c r="C33" s="18">
        <v>0</v>
      </c>
      <c r="D33" s="18">
        <f t="shared" si="10"/>
        <v>0</v>
      </c>
      <c r="E33" s="18">
        <f t="shared" si="10"/>
        <v>0</v>
      </c>
      <c r="F33" s="18">
        <f t="shared" si="10"/>
        <v>0</v>
      </c>
      <c r="G33" s="18">
        <f t="shared" si="10"/>
        <v>0</v>
      </c>
      <c r="H33" s="18">
        <f t="shared" si="10"/>
        <v>0</v>
      </c>
      <c r="I33" s="18">
        <f t="shared" si="10"/>
        <v>0</v>
      </c>
      <c r="J33" s="18">
        <f t="shared" si="10"/>
        <v>0</v>
      </c>
      <c r="K33" s="18">
        <f t="shared" si="10"/>
        <v>0</v>
      </c>
      <c r="L33" s="18">
        <f t="shared" si="10"/>
        <v>0</v>
      </c>
      <c r="M33" s="18">
        <f t="shared" si="10"/>
        <v>0</v>
      </c>
      <c r="N33" s="18">
        <f t="shared" si="10"/>
        <v>0</v>
      </c>
      <c r="O33" s="52">
        <f t="shared" si="11"/>
        <v>0</v>
      </c>
    </row>
    <row r="34" spans="1:16">
      <c r="B34" s="5" t="s">
        <v>99</v>
      </c>
      <c r="C34" s="18">
        <f>10290/12</f>
        <v>857.5</v>
      </c>
      <c r="D34" s="18">
        <f t="shared" si="10"/>
        <v>857.5</v>
      </c>
      <c r="E34" s="18">
        <f t="shared" si="10"/>
        <v>857.5</v>
      </c>
      <c r="F34" s="18">
        <f t="shared" si="10"/>
        <v>857.5</v>
      </c>
      <c r="G34" s="18">
        <f t="shared" si="10"/>
        <v>857.5</v>
      </c>
      <c r="H34" s="18">
        <f t="shared" si="10"/>
        <v>857.5</v>
      </c>
      <c r="I34" s="18">
        <f t="shared" si="10"/>
        <v>857.5</v>
      </c>
      <c r="J34" s="18">
        <f t="shared" si="10"/>
        <v>857.5</v>
      </c>
      <c r="K34" s="18">
        <f t="shared" si="10"/>
        <v>857.5</v>
      </c>
      <c r="L34" s="18">
        <f t="shared" si="10"/>
        <v>857.5</v>
      </c>
      <c r="M34" s="18">
        <f t="shared" si="10"/>
        <v>857.5</v>
      </c>
      <c r="N34" s="18">
        <f t="shared" si="10"/>
        <v>857.5</v>
      </c>
      <c r="O34" s="52">
        <f t="shared" si="11"/>
        <v>10290</v>
      </c>
    </row>
    <row r="35" spans="1:16">
      <c r="B35" s="5" t="s">
        <v>36</v>
      </c>
      <c r="C35" s="18">
        <f>148788/12</f>
        <v>12399</v>
      </c>
      <c r="D35" s="18">
        <f t="shared" si="10"/>
        <v>12399</v>
      </c>
      <c r="E35" s="18">
        <f t="shared" si="10"/>
        <v>12399</v>
      </c>
      <c r="F35" s="18">
        <f t="shared" si="10"/>
        <v>12399</v>
      </c>
      <c r="G35" s="18">
        <f t="shared" si="10"/>
        <v>12399</v>
      </c>
      <c r="H35" s="18">
        <f t="shared" si="10"/>
        <v>12399</v>
      </c>
      <c r="I35" s="18">
        <f t="shared" si="10"/>
        <v>12399</v>
      </c>
      <c r="J35" s="18">
        <f t="shared" si="10"/>
        <v>12399</v>
      </c>
      <c r="K35" s="18">
        <f t="shared" si="10"/>
        <v>12399</v>
      </c>
      <c r="L35" s="18">
        <f t="shared" si="10"/>
        <v>12399</v>
      </c>
      <c r="M35" s="18">
        <f t="shared" si="10"/>
        <v>12399</v>
      </c>
      <c r="N35" s="18">
        <f t="shared" si="10"/>
        <v>12399</v>
      </c>
      <c r="O35" s="52">
        <f t="shared" si="11"/>
        <v>148788</v>
      </c>
    </row>
    <row r="36" spans="1:16">
      <c r="A36" t="s">
        <v>20</v>
      </c>
      <c r="B36" s="9" t="s">
        <v>44</v>
      </c>
      <c r="C36" s="19">
        <f t="shared" ref="C36:O36" si="12">SUM(C28:C35)</f>
        <v>16973.583333333332</v>
      </c>
      <c r="D36" s="19">
        <f t="shared" si="12"/>
        <v>16973.583333333332</v>
      </c>
      <c r="E36" s="19">
        <f t="shared" si="12"/>
        <v>16973.583333333332</v>
      </c>
      <c r="F36" s="19">
        <f t="shared" si="12"/>
        <v>16973.583333333332</v>
      </c>
      <c r="G36" s="19">
        <f t="shared" si="12"/>
        <v>16973.583333333332</v>
      </c>
      <c r="H36" s="19">
        <f t="shared" si="12"/>
        <v>16973.583333333332</v>
      </c>
      <c r="I36" s="19">
        <f t="shared" si="12"/>
        <v>16973.583333333332</v>
      </c>
      <c r="J36" s="19">
        <f t="shared" si="12"/>
        <v>16973.583333333332</v>
      </c>
      <c r="K36" s="19">
        <f t="shared" si="12"/>
        <v>16973.583333333332</v>
      </c>
      <c r="L36" s="19">
        <f t="shared" si="12"/>
        <v>16973.583333333332</v>
      </c>
      <c r="M36" s="19">
        <f t="shared" si="12"/>
        <v>16973.583333333332</v>
      </c>
      <c r="N36" s="19">
        <f t="shared" si="12"/>
        <v>16973.583333333332</v>
      </c>
      <c r="O36" s="53">
        <f t="shared" si="12"/>
        <v>203683</v>
      </c>
    </row>
    <row r="37" spans="1:16">
      <c r="B37" s="9"/>
      <c r="O37" s="54"/>
    </row>
    <row r="38" spans="1:16" ht="15.75" thickBot="1">
      <c r="A38" t="s">
        <v>75</v>
      </c>
      <c r="B38" s="9" t="s">
        <v>66</v>
      </c>
      <c r="C38" s="21">
        <f>C36+C25+C14</f>
        <v>182318.91666666669</v>
      </c>
      <c r="D38" s="21">
        <f t="shared" ref="D38:O38" si="13">D36+D25+D14</f>
        <v>182318.91666666669</v>
      </c>
      <c r="E38" s="21">
        <f t="shared" si="13"/>
        <v>182318.91666666669</v>
      </c>
      <c r="F38" s="21">
        <f t="shared" si="13"/>
        <v>182318.91666666669</v>
      </c>
      <c r="G38" s="21">
        <f t="shared" si="13"/>
        <v>182318.91666666669</v>
      </c>
      <c r="H38" s="21">
        <f t="shared" si="13"/>
        <v>182318.91666666669</v>
      </c>
      <c r="I38" s="21">
        <f t="shared" si="13"/>
        <v>182318.91666666669</v>
      </c>
      <c r="J38" s="21">
        <f t="shared" si="13"/>
        <v>182318.91666666669</v>
      </c>
      <c r="K38" s="21">
        <f t="shared" si="13"/>
        <v>182318.91666666669</v>
      </c>
      <c r="L38" s="21">
        <f t="shared" si="13"/>
        <v>182318.91666666669</v>
      </c>
      <c r="M38" s="21">
        <f t="shared" si="13"/>
        <v>182318.91666666669</v>
      </c>
      <c r="N38" s="21">
        <f t="shared" si="13"/>
        <v>182318.91666666669</v>
      </c>
      <c r="O38" s="55">
        <f t="shared" si="13"/>
        <v>2187827</v>
      </c>
    </row>
    <row r="39" spans="1:16" ht="15.75" thickTop="1">
      <c r="B39" s="9"/>
      <c r="O39" s="54"/>
    </row>
    <row r="40" spans="1:16">
      <c r="B40" s="10" t="s">
        <v>67</v>
      </c>
      <c r="O40" s="54"/>
    </row>
    <row r="41" spans="1:16">
      <c r="B41" s="6" t="s">
        <v>31</v>
      </c>
      <c r="C41" s="20">
        <v>9097</v>
      </c>
      <c r="D41" s="18">
        <v>12489.75</v>
      </c>
      <c r="E41" s="18">
        <v>22284.2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3" si="14">SUM(C41:N41)</f>
        <v>43870.95</v>
      </c>
      <c r="P41" s="16">
        <f t="shared" ref="P41:P47" si="15">SUM(D41:O41)</f>
        <v>78644.899999999994</v>
      </c>
    </row>
    <row r="42" spans="1:16">
      <c r="B42" s="6" t="s">
        <v>32</v>
      </c>
      <c r="C42" s="18">
        <v>139519.85</v>
      </c>
      <c r="D42" s="18">
        <v>100484.22</v>
      </c>
      <c r="E42" s="18">
        <v>55505.47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295509.54000000004</v>
      </c>
      <c r="P42" s="16">
        <f t="shared" si="15"/>
        <v>451499.23000000004</v>
      </c>
    </row>
    <row r="43" spans="1:16">
      <c r="B43" s="6" t="s">
        <v>97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6"/>
      <c r="P44" s="16">
        <f t="shared" si="15"/>
        <v>0</v>
      </c>
    </row>
    <row r="45" spans="1:16" hidden="1">
      <c r="B45" s="6" t="s">
        <v>34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6"/>
      <c r="P45" s="16">
        <f t="shared" si="15"/>
        <v>0</v>
      </c>
    </row>
    <row r="46" spans="1:16" hidden="1">
      <c r="B46" s="6" t="s">
        <v>35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56"/>
      <c r="P46" s="16">
        <f t="shared" si="15"/>
        <v>0</v>
      </c>
    </row>
    <row r="47" spans="1:16" hidden="1">
      <c r="B47" s="6" t="s">
        <v>36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6"/>
      <c r="P47" s="16">
        <f t="shared" si="15"/>
        <v>0</v>
      </c>
    </row>
    <row r="48" spans="1:16">
      <c r="A48" t="s">
        <v>24</v>
      </c>
      <c r="B48" s="10" t="s">
        <v>38</v>
      </c>
      <c r="C48" s="19">
        <f>SUM(C41:C47)</f>
        <v>148616.85</v>
      </c>
      <c r="D48" s="19">
        <f t="shared" ref="D48:O48" si="16">SUM(D41:D47)</f>
        <v>112973.97</v>
      </c>
      <c r="E48" s="19">
        <f t="shared" si="16"/>
        <v>77789.67</v>
      </c>
      <c r="F48" s="19">
        <f t="shared" si="16"/>
        <v>0</v>
      </c>
      <c r="G48" s="19">
        <f t="shared" si="16"/>
        <v>0</v>
      </c>
      <c r="H48" s="19">
        <f t="shared" si="16"/>
        <v>0</v>
      </c>
      <c r="I48" s="19">
        <f t="shared" si="16"/>
        <v>0</v>
      </c>
      <c r="J48" s="19">
        <f t="shared" si="16"/>
        <v>0</v>
      </c>
      <c r="K48" s="19">
        <f>SUM(K41:K47)</f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339380.49000000005</v>
      </c>
      <c r="P48" s="19">
        <f>SUM(P41:P47)</f>
        <v>530144.13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>
      <c r="B50" s="10" t="s">
        <v>68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56"/>
      <c r="P50" s="18"/>
    </row>
    <row r="51" spans="1:16">
      <c r="B51" s="6" t="s">
        <v>31</v>
      </c>
      <c r="C51" s="20">
        <v>1799.58</v>
      </c>
      <c r="D51" s="18">
        <v>2747.98</v>
      </c>
      <c r="E51" s="18">
        <v>2067.19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17">SUM(C51:N51)</f>
        <v>6614.75</v>
      </c>
      <c r="P51" s="16">
        <f t="shared" ref="P51:P58" si="18">SUM(D51:O51)</f>
        <v>11429.92</v>
      </c>
    </row>
    <row r="52" spans="1:16">
      <c r="B52" s="6" t="s">
        <v>32</v>
      </c>
      <c r="C52" s="18">
        <v>266.13</v>
      </c>
      <c r="D52" s="18">
        <v>612.07000000000005</v>
      </c>
      <c r="E52" s="18">
        <v>7789.29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17"/>
        <v>8667.49</v>
      </c>
      <c r="P52" s="16">
        <f t="shared" si="18"/>
        <v>17068.849999999999</v>
      </c>
    </row>
    <row r="53" spans="1:16">
      <c r="B53" s="6" t="s">
        <v>97</v>
      </c>
      <c r="C53" s="18">
        <v>605.61</v>
      </c>
      <c r="D53" s="18">
        <v>4.79</v>
      </c>
      <c r="E53" s="18">
        <v>300.04000000000002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17"/>
        <v>910.44</v>
      </c>
      <c r="P53" s="16">
        <f t="shared" si="18"/>
        <v>1215.27</v>
      </c>
    </row>
    <row r="54" spans="1:16" hidden="1">
      <c r="B54" s="6" t="s">
        <v>33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17"/>
        <v>0</v>
      </c>
      <c r="P54" s="16">
        <f t="shared" si="18"/>
        <v>0</v>
      </c>
    </row>
    <row r="55" spans="1:16" hidden="1">
      <c r="B55" s="6" t="s">
        <v>34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17"/>
        <v>0</v>
      </c>
      <c r="P55" s="16">
        <f t="shared" si="18"/>
        <v>0</v>
      </c>
    </row>
    <row r="56" spans="1:16">
      <c r="B56" s="6" t="s">
        <v>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17"/>
        <v>0</v>
      </c>
      <c r="P56" s="16">
        <f t="shared" si="18"/>
        <v>0</v>
      </c>
    </row>
    <row r="57" spans="1:16">
      <c r="B57" s="6" t="s">
        <v>99</v>
      </c>
      <c r="C57" s="18">
        <v>9557.5400000000009</v>
      </c>
      <c r="D57" s="18">
        <v>4083.2300000000005</v>
      </c>
      <c r="E57" s="18">
        <v>10195.51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si="17"/>
        <v>23836.28</v>
      </c>
      <c r="P57" s="16"/>
    </row>
    <row r="58" spans="1:16">
      <c r="B58" s="6" t="s">
        <v>36</v>
      </c>
      <c r="C58" s="18">
        <v>22513.48</v>
      </c>
      <c r="D58" s="18">
        <v>25572.19</v>
      </c>
      <c r="E58" s="18">
        <v>30273.32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17"/>
        <v>78358.989999999991</v>
      </c>
      <c r="P58" s="16">
        <f t="shared" si="18"/>
        <v>134204.5</v>
      </c>
    </row>
    <row r="59" spans="1:16">
      <c r="A59" t="s">
        <v>76</v>
      </c>
      <c r="B59" s="10" t="s">
        <v>69</v>
      </c>
      <c r="C59" s="19">
        <f t="shared" ref="C59:O59" si="19">SUM(C51:C58)</f>
        <v>34742.339999999997</v>
      </c>
      <c r="D59" s="19">
        <f t="shared" si="19"/>
        <v>33020.26</v>
      </c>
      <c r="E59" s="19">
        <f t="shared" si="19"/>
        <v>50625.35</v>
      </c>
      <c r="F59" s="19">
        <f t="shared" si="19"/>
        <v>0</v>
      </c>
      <c r="G59" s="19">
        <f t="shared" si="19"/>
        <v>0</v>
      </c>
      <c r="H59" s="19">
        <f t="shared" si="19"/>
        <v>0</v>
      </c>
      <c r="I59" s="19">
        <f t="shared" si="19"/>
        <v>0</v>
      </c>
      <c r="J59" s="19">
        <f t="shared" si="19"/>
        <v>0</v>
      </c>
      <c r="K59" s="19">
        <f t="shared" si="19"/>
        <v>0</v>
      </c>
      <c r="L59" s="19">
        <f t="shared" si="19"/>
        <v>0</v>
      </c>
      <c r="M59" s="19">
        <f t="shared" si="19"/>
        <v>0</v>
      </c>
      <c r="N59" s="19">
        <f t="shared" si="19"/>
        <v>0</v>
      </c>
      <c r="O59" s="53">
        <f t="shared" si="19"/>
        <v>118387.94999999998</v>
      </c>
      <c r="P59" s="19">
        <f>SUM(P51:P58)</f>
        <v>163918.54</v>
      </c>
    </row>
    <row r="60" spans="1:16">
      <c r="B60" s="10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56"/>
      <c r="P60" s="18"/>
    </row>
    <row r="61" spans="1:16">
      <c r="B61" s="10" t="s">
        <v>70</v>
      </c>
      <c r="C61" s="18"/>
      <c r="D61" s="18"/>
      <c r="E61" s="18"/>
      <c r="F61" s="18"/>
      <c r="G61" s="18"/>
      <c r="H61" s="18"/>
      <c r="I61" s="18"/>
      <c r="J61" s="18"/>
      <c r="L61" s="18"/>
      <c r="M61" s="18"/>
      <c r="N61" s="18"/>
      <c r="O61" s="56"/>
      <c r="P61" s="18"/>
    </row>
    <row r="62" spans="1:16">
      <c r="B62" s="6" t="s">
        <v>31</v>
      </c>
      <c r="C62" s="20">
        <v>2135.7799999999997</v>
      </c>
      <c r="D62" s="18">
        <v>4030.9900000000007</v>
      </c>
      <c r="E62" s="18">
        <v>2822.38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20">SUM(C62:N62)</f>
        <v>8989.1500000000015</v>
      </c>
      <c r="P62" s="16">
        <f t="shared" ref="P62:P69" si="21">SUM(D62:O62)</f>
        <v>15842.520000000002</v>
      </c>
    </row>
    <row r="63" spans="1:16">
      <c r="B63" s="6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0"/>
        <v>0</v>
      </c>
      <c r="P63" s="16">
        <f t="shared" si="21"/>
        <v>0</v>
      </c>
    </row>
    <row r="64" spans="1:16">
      <c r="B64" s="6" t="s">
        <v>97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0"/>
        <v>0</v>
      </c>
      <c r="P64" s="16">
        <f t="shared" si="21"/>
        <v>0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20"/>
        <v>0</v>
      </c>
      <c r="P65" s="16">
        <f t="shared" si="21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20"/>
        <v>0</v>
      </c>
      <c r="P66" s="16">
        <f t="shared" si="21"/>
        <v>0</v>
      </c>
    </row>
    <row r="67" spans="1:16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20"/>
        <v>0</v>
      </c>
      <c r="P67" s="16">
        <f t="shared" si="21"/>
        <v>0</v>
      </c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20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20"/>
        <v>0</v>
      </c>
      <c r="P69" s="16">
        <f t="shared" si="21"/>
        <v>0</v>
      </c>
    </row>
    <row r="70" spans="1:16">
      <c r="A70" t="s">
        <v>77</v>
      </c>
      <c r="B70" s="10" t="s">
        <v>39</v>
      </c>
      <c r="C70" s="19">
        <f t="shared" ref="C70:P70" si="22">SUM(C62:C69)</f>
        <v>2135.7799999999997</v>
      </c>
      <c r="D70" s="19">
        <f t="shared" si="22"/>
        <v>4030.9900000000007</v>
      </c>
      <c r="E70" s="19">
        <f t="shared" si="22"/>
        <v>2822.38</v>
      </c>
      <c r="F70" s="19">
        <f t="shared" si="22"/>
        <v>0</v>
      </c>
      <c r="G70" s="19">
        <f t="shared" si="22"/>
        <v>0</v>
      </c>
      <c r="H70" s="19">
        <f t="shared" si="22"/>
        <v>0</v>
      </c>
      <c r="I70" s="19">
        <f t="shared" si="22"/>
        <v>0</v>
      </c>
      <c r="J70" s="19">
        <f t="shared" si="22"/>
        <v>0</v>
      </c>
      <c r="K70" s="19">
        <f>SUM(K62:K69)</f>
        <v>0</v>
      </c>
      <c r="L70" s="19">
        <f t="shared" si="22"/>
        <v>0</v>
      </c>
      <c r="M70" s="19">
        <f t="shared" si="22"/>
        <v>0</v>
      </c>
      <c r="N70" s="19">
        <f t="shared" si="22"/>
        <v>0</v>
      </c>
      <c r="O70" s="53">
        <f t="shared" si="22"/>
        <v>8989.1500000000015</v>
      </c>
      <c r="P70" s="19">
        <f t="shared" si="22"/>
        <v>15842.520000000002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</row>
    <row r="72" spans="1:16" ht="15.75" thickBot="1">
      <c r="A72" t="s">
        <v>78</v>
      </c>
      <c r="B72" s="10" t="s">
        <v>71</v>
      </c>
      <c r="C72" s="21">
        <f>C70+C59+C48</f>
        <v>185494.97</v>
      </c>
      <c r="D72" s="21">
        <f>D70+D59+D48</f>
        <v>150025.22</v>
      </c>
      <c r="E72" s="21">
        <f t="shared" ref="E72:P72" si="23">E70+E59+E48</f>
        <v>131237.4</v>
      </c>
      <c r="F72" s="21">
        <f t="shared" si="23"/>
        <v>0</v>
      </c>
      <c r="G72" s="21">
        <f t="shared" si="23"/>
        <v>0</v>
      </c>
      <c r="H72" s="21">
        <f t="shared" si="23"/>
        <v>0</v>
      </c>
      <c r="I72" s="21">
        <f t="shared" si="23"/>
        <v>0</v>
      </c>
      <c r="J72" s="21">
        <f t="shared" si="23"/>
        <v>0</v>
      </c>
      <c r="K72" s="21">
        <f t="shared" si="23"/>
        <v>0</v>
      </c>
      <c r="L72" s="21">
        <f t="shared" si="23"/>
        <v>0</v>
      </c>
      <c r="M72" s="21">
        <f t="shared" si="23"/>
        <v>0</v>
      </c>
      <c r="N72" s="21">
        <f t="shared" si="23"/>
        <v>0</v>
      </c>
      <c r="O72" s="55">
        <f t="shared" si="23"/>
        <v>466757.59</v>
      </c>
      <c r="P72" s="21">
        <f t="shared" si="23"/>
        <v>709905.19</v>
      </c>
    </row>
    <row r="73" spans="1:16" ht="15.75" thickTop="1">
      <c r="B73" s="9"/>
      <c r="O73" s="54"/>
    </row>
    <row r="74" spans="1:16">
      <c r="B74" s="11" t="s">
        <v>40</v>
      </c>
      <c r="O74" s="54"/>
    </row>
    <row r="75" spans="1:16">
      <c r="B75" s="11" t="s">
        <v>72</v>
      </c>
      <c r="O75" s="54"/>
    </row>
    <row r="76" spans="1:16">
      <c r="B76" s="12" t="s">
        <v>31</v>
      </c>
      <c r="C76" s="20">
        <f t="shared" ref="C76:C83" si="24">C7-C41</f>
        <v>58204.25</v>
      </c>
      <c r="D76" s="20">
        <f t="shared" ref="D76:E76" si="25">D7-D41</f>
        <v>54811.5</v>
      </c>
      <c r="E76" s="20">
        <f t="shared" si="25"/>
        <v>45017.05</v>
      </c>
      <c r="F76" s="20">
        <f t="shared" ref="F76:G76" si="26">F7-F41</f>
        <v>67301.25</v>
      </c>
      <c r="G76" s="20">
        <f t="shared" si="26"/>
        <v>67301.25</v>
      </c>
      <c r="H76" s="20">
        <f t="shared" ref="H76:I76" si="27">H7-H41</f>
        <v>67301.25</v>
      </c>
      <c r="I76" s="20">
        <f t="shared" si="27"/>
        <v>67301.25</v>
      </c>
      <c r="J76" s="20">
        <f t="shared" ref="J76:N76" si="28">J7-J41</f>
        <v>67301.25</v>
      </c>
      <c r="K76" s="20">
        <f t="shared" ref="K76" si="29">K7-K41</f>
        <v>67301.25</v>
      </c>
      <c r="L76" s="20">
        <f t="shared" si="28"/>
        <v>67301.25</v>
      </c>
      <c r="M76" s="20">
        <f t="shared" si="28"/>
        <v>67301.25</v>
      </c>
      <c r="N76" s="20">
        <f t="shared" si="28"/>
        <v>67301.25</v>
      </c>
      <c r="O76" s="52">
        <f t="shared" ref="O76:O82" si="30">SUM(C76:N76)</f>
        <v>763744.05</v>
      </c>
    </row>
    <row r="77" spans="1:16">
      <c r="B77" s="12" t="s">
        <v>32</v>
      </c>
      <c r="C77" s="20">
        <f t="shared" si="24"/>
        <v>-76243.350000000006</v>
      </c>
      <c r="D77" s="20">
        <f t="shared" ref="D77:E83" si="31">D8-D42</f>
        <v>-37207.72</v>
      </c>
      <c r="E77" s="20">
        <f t="shared" si="31"/>
        <v>7771.0299999999988</v>
      </c>
      <c r="F77" s="20">
        <f t="shared" ref="F77:G77" si="32">F8-F42</f>
        <v>63276.5</v>
      </c>
      <c r="G77" s="20">
        <f t="shared" si="32"/>
        <v>63276.5</v>
      </c>
      <c r="H77" s="20">
        <f t="shared" ref="H77:I77" si="33">H8-H42</f>
        <v>63276.5</v>
      </c>
      <c r="I77" s="20">
        <f t="shared" si="33"/>
        <v>63276.5</v>
      </c>
      <c r="J77" s="20">
        <f t="shared" ref="J77:N77" si="34">J8-J42</f>
        <v>63276.5</v>
      </c>
      <c r="K77" s="20">
        <f t="shared" ref="K77" si="35">K8-K42</f>
        <v>63276.5</v>
      </c>
      <c r="L77" s="20">
        <f t="shared" si="34"/>
        <v>63276.5</v>
      </c>
      <c r="M77" s="20">
        <f t="shared" si="34"/>
        <v>63276.5</v>
      </c>
      <c r="N77" s="20">
        <f t="shared" si="34"/>
        <v>63276.5</v>
      </c>
      <c r="O77" s="52">
        <f t="shared" si="30"/>
        <v>463808.45999999996</v>
      </c>
    </row>
    <row r="78" spans="1:16">
      <c r="B78" s="12" t="s">
        <v>97</v>
      </c>
      <c r="C78" s="20">
        <f t="shared" si="24"/>
        <v>21117.583333333332</v>
      </c>
      <c r="D78" s="20">
        <f t="shared" si="31"/>
        <v>21117.583333333332</v>
      </c>
      <c r="E78" s="20">
        <f t="shared" si="31"/>
        <v>21117.583333333332</v>
      </c>
      <c r="F78" s="20">
        <f t="shared" ref="F78:G78" si="36">F9-F43</f>
        <v>21117.583333333332</v>
      </c>
      <c r="G78" s="20">
        <f t="shared" si="36"/>
        <v>21117.583333333332</v>
      </c>
      <c r="H78" s="20">
        <f t="shared" ref="H78:I78" si="37">H9-H43</f>
        <v>21117.583333333332</v>
      </c>
      <c r="I78" s="20">
        <f t="shared" si="37"/>
        <v>21117.583333333332</v>
      </c>
      <c r="J78" s="20">
        <f t="shared" ref="J78:N78" si="38">J9-J43</f>
        <v>21117.583333333332</v>
      </c>
      <c r="K78" s="20">
        <f t="shared" ref="K78" si="39">K9-K43</f>
        <v>21117.583333333332</v>
      </c>
      <c r="L78" s="20">
        <f t="shared" si="38"/>
        <v>21117.583333333332</v>
      </c>
      <c r="M78" s="20">
        <f t="shared" si="38"/>
        <v>21117.583333333332</v>
      </c>
      <c r="N78" s="20">
        <f t="shared" si="38"/>
        <v>21117.583333333332</v>
      </c>
      <c r="O78" s="52">
        <f t="shared" si="30"/>
        <v>253411.00000000003</v>
      </c>
    </row>
    <row r="79" spans="1:16" hidden="1">
      <c r="B79" s="12" t="s">
        <v>33</v>
      </c>
      <c r="C79" s="20">
        <f t="shared" si="24"/>
        <v>0</v>
      </c>
      <c r="D79" s="20">
        <f t="shared" si="31"/>
        <v>0</v>
      </c>
      <c r="E79" s="20">
        <f t="shared" si="31"/>
        <v>0</v>
      </c>
      <c r="F79" s="20">
        <f t="shared" ref="F79:G79" si="40">F10-F44</f>
        <v>0</v>
      </c>
      <c r="G79" s="20">
        <f t="shared" si="40"/>
        <v>0</v>
      </c>
      <c r="H79" s="20">
        <f t="shared" ref="H79:I79" si="41">H10-H44</f>
        <v>0</v>
      </c>
      <c r="I79" s="20">
        <f t="shared" si="41"/>
        <v>0</v>
      </c>
      <c r="J79" s="20">
        <f t="shared" ref="J79:N79" si="42">J10-J44</f>
        <v>0</v>
      </c>
      <c r="K79" s="20">
        <f t="shared" si="42"/>
        <v>0</v>
      </c>
      <c r="L79" s="20">
        <f t="shared" si="42"/>
        <v>0</v>
      </c>
      <c r="M79" s="20">
        <f t="shared" si="42"/>
        <v>0</v>
      </c>
      <c r="N79" s="20">
        <f t="shared" si="42"/>
        <v>0</v>
      </c>
      <c r="O79" s="52">
        <f t="shared" si="30"/>
        <v>0</v>
      </c>
    </row>
    <row r="80" spans="1:16" hidden="1">
      <c r="B80" s="12" t="s">
        <v>34</v>
      </c>
      <c r="C80" s="20">
        <f t="shared" si="24"/>
        <v>0</v>
      </c>
      <c r="D80" s="20">
        <f t="shared" si="31"/>
        <v>0</v>
      </c>
      <c r="E80" s="20">
        <f t="shared" si="31"/>
        <v>0</v>
      </c>
      <c r="F80" s="20">
        <f t="shared" ref="F80:G80" si="43">F11-F45</f>
        <v>0</v>
      </c>
      <c r="G80" s="20">
        <f t="shared" si="43"/>
        <v>0</v>
      </c>
      <c r="H80" s="20">
        <f t="shared" ref="H80:I80" si="44">H11-H45</f>
        <v>0</v>
      </c>
      <c r="I80" s="20">
        <f t="shared" si="44"/>
        <v>0</v>
      </c>
      <c r="J80" s="20">
        <f t="shared" ref="J80:N80" si="45">J11-J45</f>
        <v>0</v>
      </c>
      <c r="K80" s="20">
        <f t="shared" si="45"/>
        <v>0</v>
      </c>
      <c r="L80" s="20">
        <f t="shared" si="45"/>
        <v>0</v>
      </c>
      <c r="M80" s="20">
        <f t="shared" si="45"/>
        <v>0</v>
      </c>
      <c r="N80" s="20">
        <f t="shared" si="45"/>
        <v>0</v>
      </c>
      <c r="O80" s="52">
        <f t="shared" si="30"/>
        <v>0</v>
      </c>
    </row>
    <row r="81" spans="1:15" hidden="1">
      <c r="B81" s="12" t="s">
        <v>35</v>
      </c>
      <c r="C81" s="20">
        <f t="shared" si="24"/>
        <v>0</v>
      </c>
      <c r="D81" s="20">
        <f t="shared" si="31"/>
        <v>0</v>
      </c>
      <c r="E81" s="20">
        <f t="shared" si="31"/>
        <v>0</v>
      </c>
      <c r="F81" s="20">
        <f t="shared" ref="F81:G81" si="46">F12-F46</f>
        <v>0</v>
      </c>
      <c r="G81" s="20">
        <f t="shared" si="46"/>
        <v>0</v>
      </c>
      <c r="H81" s="20">
        <f t="shared" ref="H81:I81" si="47">H12-H46</f>
        <v>0</v>
      </c>
      <c r="I81" s="20">
        <f t="shared" si="47"/>
        <v>0</v>
      </c>
      <c r="J81" s="20">
        <f t="shared" ref="J81:N81" si="48">J12-J46</f>
        <v>0</v>
      </c>
      <c r="K81" s="20">
        <f t="shared" si="48"/>
        <v>0</v>
      </c>
      <c r="L81" s="20">
        <f t="shared" si="48"/>
        <v>0</v>
      </c>
      <c r="M81" s="20">
        <f t="shared" si="48"/>
        <v>0</v>
      </c>
      <c r="N81" s="20">
        <f t="shared" si="48"/>
        <v>0</v>
      </c>
      <c r="O81" s="52">
        <f t="shared" si="30"/>
        <v>0</v>
      </c>
    </row>
    <row r="82" spans="1:15" hidden="1">
      <c r="B82" s="12" t="s">
        <v>36</v>
      </c>
      <c r="C82" s="20">
        <f t="shared" si="24"/>
        <v>0</v>
      </c>
      <c r="D82" s="20">
        <f t="shared" si="31"/>
        <v>0</v>
      </c>
      <c r="E82" s="20">
        <f t="shared" si="31"/>
        <v>0</v>
      </c>
      <c r="F82" s="20">
        <f t="shared" ref="F82:G82" si="49">F13-F47</f>
        <v>0</v>
      </c>
      <c r="G82" s="20">
        <f t="shared" si="49"/>
        <v>0</v>
      </c>
      <c r="H82" s="20">
        <f t="shared" ref="H82:I82" si="50">H13-H47</f>
        <v>0</v>
      </c>
      <c r="I82" s="20">
        <f t="shared" si="50"/>
        <v>0</v>
      </c>
      <c r="J82" s="20">
        <f t="shared" ref="J82:N82" si="51">J13-J47</f>
        <v>0</v>
      </c>
      <c r="K82" s="20">
        <f t="shared" si="51"/>
        <v>0</v>
      </c>
      <c r="L82" s="20">
        <f t="shared" si="51"/>
        <v>0</v>
      </c>
      <c r="M82" s="20">
        <f t="shared" si="51"/>
        <v>0</v>
      </c>
      <c r="N82" s="20">
        <f t="shared" si="51"/>
        <v>0</v>
      </c>
      <c r="O82" s="52">
        <f t="shared" si="30"/>
        <v>0</v>
      </c>
    </row>
    <row r="83" spans="1:15">
      <c r="A83" t="s">
        <v>79</v>
      </c>
      <c r="B83" s="11" t="s">
        <v>41</v>
      </c>
      <c r="C83" s="19">
        <f t="shared" si="24"/>
        <v>3078.4833333333372</v>
      </c>
      <c r="D83" s="19">
        <f t="shared" si="31"/>
        <v>38721.363333333342</v>
      </c>
      <c r="E83" s="19">
        <f t="shared" si="31"/>
        <v>73905.663333333345</v>
      </c>
      <c r="F83" s="19">
        <f t="shared" ref="F83:G83" si="52">F14-F48</f>
        <v>151695.33333333334</v>
      </c>
      <c r="G83" s="19">
        <f t="shared" si="52"/>
        <v>151695.33333333334</v>
      </c>
      <c r="H83" s="19">
        <f t="shared" ref="H83:I83" si="53">H14-H48</f>
        <v>151695.33333333334</v>
      </c>
      <c r="I83" s="19">
        <f t="shared" si="53"/>
        <v>151695.33333333334</v>
      </c>
      <c r="J83" s="19">
        <f t="shared" ref="J83:N83" si="54">J14-J48</f>
        <v>151695.33333333334</v>
      </c>
      <c r="K83" s="19">
        <f t="shared" si="54"/>
        <v>151695.33333333334</v>
      </c>
      <c r="L83" s="19">
        <f t="shared" si="54"/>
        <v>151695.33333333334</v>
      </c>
      <c r="M83" s="19">
        <f t="shared" si="54"/>
        <v>151695.33333333334</v>
      </c>
      <c r="N83" s="19">
        <f t="shared" si="54"/>
        <v>151695.33333333334</v>
      </c>
      <c r="O83" s="53">
        <f t="shared" ref="O83" si="55">SUM(O76:O82)</f>
        <v>1480963.51</v>
      </c>
    </row>
    <row r="84" spans="1:15">
      <c r="B84" s="1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56"/>
    </row>
    <row r="85" spans="1:15">
      <c r="B85" s="11" t="s">
        <v>73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52"/>
    </row>
    <row r="86" spans="1:15">
      <c r="B86" s="12" t="s">
        <v>31</v>
      </c>
      <c r="C86" s="20">
        <f t="shared" ref="C86:E94" si="56">C17-C51</f>
        <v>-932.24666666666656</v>
      </c>
      <c r="D86" s="20">
        <f t="shared" si="56"/>
        <v>-1880.6466666666665</v>
      </c>
      <c r="E86" s="20">
        <f t="shared" si="56"/>
        <v>-1199.8566666666666</v>
      </c>
      <c r="F86" s="20">
        <f t="shared" ref="F86:G86" si="57">F17-F51</f>
        <v>867.33333333333337</v>
      </c>
      <c r="G86" s="20">
        <f t="shared" si="57"/>
        <v>867.33333333333337</v>
      </c>
      <c r="H86" s="20">
        <f t="shared" ref="H86:I86" si="58">H17-H51</f>
        <v>867.33333333333337</v>
      </c>
      <c r="I86" s="20">
        <f t="shared" si="58"/>
        <v>867.33333333333337</v>
      </c>
      <c r="J86" s="20">
        <f t="shared" ref="J86:N86" si="59">J17-J51</f>
        <v>867.33333333333337</v>
      </c>
      <c r="K86" s="20">
        <f t="shared" si="59"/>
        <v>867.33333333333337</v>
      </c>
      <c r="L86" s="20">
        <f t="shared" si="59"/>
        <v>867.33333333333337</v>
      </c>
      <c r="M86" s="20">
        <f t="shared" si="59"/>
        <v>867.33333333333337</v>
      </c>
      <c r="N86" s="20">
        <f t="shared" si="59"/>
        <v>867.33333333333337</v>
      </c>
      <c r="O86" s="52">
        <f t="shared" ref="O86:O93" si="60">SUM(C86:N86)</f>
        <v>3793.2500000000014</v>
      </c>
    </row>
    <row r="87" spans="1:15">
      <c r="B87" s="12" t="s">
        <v>32</v>
      </c>
      <c r="C87" s="20">
        <f t="shared" si="56"/>
        <v>-266.13</v>
      </c>
      <c r="D87" s="20">
        <f t="shared" si="56"/>
        <v>-612.07000000000005</v>
      </c>
      <c r="E87" s="20">
        <f t="shared" si="56"/>
        <v>-7789.29</v>
      </c>
      <c r="F87" s="20">
        <f t="shared" ref="F87:G87" si="61">F18-F52</f>
        <v>0</v>
      </c>
      <c r="G87" s="20">
        <f t="shared" si="61"/>
        <v>0</v>
      </c>
      <c r="H87" s="20">
        <f t="shared" ref="H87:I87" si="62">H18-H52</f>
        <v>0</v>
      </c>
      <c r="I87" s="20">
        <f t="shared" si="62"/>
        <v>0</v>
      </c>
      <c r="J87" s="20">
        <f t="shared" ref="J87:N87" si="63">J18-J52</f>
        <v>0</v>
      </c>
      <c r="K87" s="20">
        <f t="shared" si="63"/>
        <v>0</v>
      </c>
      <c r="L87" s="20">
        <f t="shared" si="63"/>
        <v>0</v>
      </c>
      <c r="M87" s="20">
        <f t="shared" si="63"/>
        <v>0</v>
      </c>
      <c r="N87" s="20">
        <f t="shared" si="63"/>
        <v>0</v>
      </c>
      <c r="O87" s="52">
        <f t="shared" si="60"/>
        <v>-8667.49</v>
      </c>
    </row>
    <row r="88" spans="1:15">
      <c r="B88" s="12" t="s">
        <v>97</v>
      </c>
      <c r="C88" s="20">
        <f t="shared" si="56"/>
        <v>2562.0566666666664</v>
      </c>
      <c r="D88" s="20">
        <f t="shared" si="56"/>
        <v>3162.8766666666666</v>
      </c>
      <c r="E88" s="20">
        <f t="shared" si="56"/>
        <v>2867.6266666666666</v>
      </c>
      <c r="F88" s="20">
        <f t="shared" ref="F88:G88" si="64">F19-F53</f>
        <v>3167.6666666666665</v>
      </c>
      <c r="G88" s="20">
        <f t="shared" si="64"/>
        <v>3167.6666666666665</v>
      </c>
      <c r="H88" s="20">
        <f t="shared" ref="H88:I88" si="65">H19-H53</f>
        <v>3167.6666666666665</v>
      </c>
      <c r="I88" s="20">
        <f t="shared" si="65"/>
        <v>3167.6666666666665</v>
      </c>
      <c r="J88" s="20">
        <f t="shared" ref="J88:N88" si="66">J19-J53</f>
        <v>3167.6666666666665</v>
      </c>
      <c r="K88" s="20">
        <f t="shared" si="66"/>
        <v>3167.6666666666665</v>
      </c>
      <c r="L88" s="20">
        <f t="shared" si="66"/>
        <v>3167.6666666666665</v>
      </c>
      <c r="M88" s="20">
        <f t="shared" si="66"/>
        <v>3167.6666666666665</v>
      </c>
      <c r="N88" s="20">
        <f t="shared" si="66"/>
        <v>3167.6666666666665</v>
      </c>
      <c r="O88" s="52">
        <f t="shared" si="60"/>
        <v>37101.56</v>
      </c>
    </row>
    <row r="89" spans="1:15" hidden="1">
      <c r="B89" s="12" t="s">
        <v>33</v>
      </c>
      <c r="C89" s="20">
        <f t="shared" si="56"/>
        <v>0</v>
      </c>
      <c r="D89" s="20">
        <f t="shared" si="56"/>
        <v>0</v>
      </c>
      <c r="E89" s="20">
        <f t="shared" si="56"/>
        <v>0</v>
      </c>
      <c r="F89" s="20">
        <f t="shared" ref="F89:G89" si="67">F20-F54</f>
        <v>0</v>
      </c>
      <c r="G89" s="20">
        <f t="shared" si="67"/>
        <v>0</v>
      </c>
      <c r="H89" s="20">
        <f t="shared" ref="H89:I89" si="68">H20-H54</f>
        <v>0</v>
      </c>
      <c r="I89" s="20">
        <f t="shared" si="68"/>
        <v>0</v>
      </c>
      <c r="J89" s="20">
        <f t="shared" ref="J89:N89" si="69">J20-J54</f>
        <v>0</v>
      </c>
      <c r="K89" s="20">
        <f t="shared" si="69"/>
        <v>0</v>
      </c>
      <c r="L89" s="20">
        <f t="shared" si="69"/>
        <v>0</v>
      </c>
      <c r="M89" s="20">
        <f t="shared" si="69"/>
        <v>0</v>
      </c>
      <c r="N89" s="20">
        <f t="shared" si="69"/>
        <v>0</v>
      </c>
      <c r="O89" s="52">
        <f t="shared" si="60"/>
        <v>0</v>
      </c>
    </row>
    <row r="90" spans="1:15" hidden="1">
      <c r="B90" s="12" t="s">
        <v>34</v>
      </c>
      <c r="C90" s="20">
        <f t="shared" si="56"/>
        <v>0</v>
      </c>
      <c r="D90" s="20">
        <f t="shared" si="56"/>
        <v>0</v>
      </c>
      <c r="E90" s="20">
        <f t="shared" si="56"/>
        <v>0</v>
      </c>
      <c r="F90" s="20">
        <f t="shared" ref="F90:G90" si="70">F21-F55</f>
        <v>0</v>
      </c>
      <c r="G90" s="20">
        <f t="shared" si="70"/>
        <v>0</v>
      </c>
      <c r="H90" s="20">
        <f t="shared" ref="H90:I90" si="71">H21-H55</f>
        <v>0</v>
      </c>
      <c r="I90" s="20">
        <f t="shared" si="71"/>
        <v>0</v>
      </c>
      <c r="J90" s="20">
        <f t="shared" ref="J90:N90" si="72">J21-J55</f>
        <v>0</v>
      </c>
      <c r="K90" s="20">
        <f t="shared" si="72"/>
        <v>0</v>
      </c>
      <c r="L90" s="20">
        <f t="shared" si="72"/>
        <v>0</v>
      </c>
      <c r="M90" s="20">
        <f t="shared" si="72"/>
        <v>0</v>
      </c>
      <c r="N90" s="20">
        <f t="shared" si="72"/>
        <v>0</v>
      </c>
      <c r="O90" s="52">
        <f t="shared" si="60"/>
        <v>0</v>
      </c>
    </row>
    <row r="91" spans="1:15">
      <c r="B91" s="12" t="s">
        <v>35</v>
      </c>
      <c r="C91" s="20">
        <f t="shared" si="56"/>
        <v>0</v>
      </c>
      <c r="D91" s="20">
        <f t="shared" si="56"/>
        <v>0</v>
      </c>
      <c r="E91" s="20">
        <f t="shared" si="56"/>
        <v>0</v>
      </c>
      <c r="F91" s="20">
        <f t="shared" ref="F91:G92" si="73">F22-F56</f>
        <v>0</v>
      </c>
      <c r="G91" s="20">
        <f t="shared" si="73"/>
        <v>0</v>
      </c>
      <c r="H91" s="20">
        <f t="shared" ref="H91:I92" si="74">H22-H56</f>
        <v>0</v>
      </c>
      <c r="I91" s="20">
        <f t="shared" si="74"/>
        <v>0</v>
      </c>
      <c r="J91" s="20">
        <f t="shared" ref="J91:N92" si="75">J22-J56</f>
        <v>0</v>
      </c>
      <c r="K91" s="20">
        <f t="shared" si="75"/>
        <v>0</v>
      </c>
      <c r="L91" s="20">
        <f t="shared" si="75"/>
        <v>0</v>
      </c>
      <c r="M91" s="20">
        <f t="shared" si="75"/>
        <v>0</v>
      </c>
      <c r="N91" s="20">
        <f t="shared" si="75"/>
        <v>0</v>
      </c>
      <c r="O91" s="52">
        <f t="shared" si="60"/>
        <v>0</v>
      </c>
    </row>
    <row r="92" spans="1:15">
      <c r="B92" s="12" t="s">
        <v>99</v>
      </c>
      <c r="C92" s="20">
        <f t="shared" si="56"/>
        <v>-5449.2066666666678</v>
      </c>
      <c r="D92" s="20">
        <f t="shared" si="56"/>
        <v>25.103333333332557</v>
      </c>
      <c r="E92" s="20">
        <f t="shared" si="56"/>
        <v>-6087.1766666666672</v>
      </c>
      <c r="F92" s="20">
        <f t="shared" si="73"/>
        <v>4108.333333333333</v>
      </c>
      <c r="G92" s="20">
        <f t="shared" si="73"/>
        <v>4108.333333333333</v>
      </c>
      <c r="H92" s="20">
        <f t="shared" si="74"/>
        <v>4108.333333333333</v>
      </c>
      <c r="I92" s="20">
        <f t="shared" si="74"/>
        <v>4108.333333333333</v>
      </c>
      <c r="J92" s="20">
        <f t="shared" si="75"/>
        <v>4108.333333333333</v>
      </c>
      <c r="K92" s="20">
        <f t="shared" si="75"/>
        <v>4108.333333333333</v>
      </c>
      <c r="L92" s="20">
        <f t="shared" si="75"/>
        <v>4108.333333333333</v>
      </c>
      <c r="M92" s="20">
        <f t="shared" si="75"/>
        <v>4108.333333333333</v>
      </c>
      <c r="N92" s="20">
        <f t="shared" si="75"/>
        <v>4108.333333333333</v>
      </c>
      <c r="O92" s="52">
        <f t="shared" ref="O92" si="76">SUM(C92:N92)</f>
        <v>25463.71999999999</v>
      </c>
    </row>
    <row r="93" spans="1:15">
      <c r="B93" s="12" t="s">
        <v>36</v>
      </c>
      <c r="C93" s="20">
        <f t="shared" si="56"/>
        <v>-17006.813333333332</v>
      </c>
      <c r="D93" s="20">
        <f t="shared" si="56"/>
        <v>-20065.523333333331</v>
      </c>
      <c r="E93" s="20">
        <f t="shared" si="56"/>
        <v>-24766.653333333332</v>
      </c>
      <c r="F93" s="20">
        <f t="shared" ref="F93:G93" si="77">F24-F58</f>
        <v>5506.666666666667</v>
      </c>
      <c r="G93" s="20">
        <f t="shared" si="77"/>
        <v>5506.666666666667</v>
      </c>
      <c r="H93" s="20">
        <f t="shared" ref="H93:I93" si="78">H24-H58</f>
        <v>5506.666666666667</v>
      </c>
      <c r="I93" s="20">
        <f t="shared" si="78"/>
        <v>5506.666666666667</v>
      </c>
      <c r="J93" s="20">
        <f t="shared" ref="J93:N93" si="79">J24-J58</f>
        <v>5506.666666666667</v>
      </c>
      <c r="K93" s="20">
        <f t="shared" si="79"/>
        <v>5506.666666666667</v>
      </c>
      <c r="L93" s="20">
        <f t="shared" si="79"/>
        <v>5506.666666666667</v>
      </c>
      <c r="M93" s="20">
        <f t="shared" si="79"/>
        <v>5506.666666666667</v>
      </c>
      <c r="N93" s="20">
        <f t="shared" si="79"/>
        <v>5506.666666666667</v>
      </c>
      <c r="O93" s="52">
        <f t="shared" si="60"/>
        <v>-12278.989999999998</v>
      </c>
    </row>
    <row r="94" spans="1:15">
      <c r="A94" t="s">
        <v>80</v>
      </c>
      <c r="B94" s="11" t="s">
        <v>41</v>
      </c>
      <c r="C94" s="19">
        <f t="shared" si="56"/>
        <v>-21092.339999999997</v>
      </c>
      <c r="D94" s="19">
        <f t="shared" si="56"/>
        <v>-19370.260000000002</v>
      </c>
      <c r="E94" s="19">
        <f t="shared" si="56"/>
        <v>-36975.35</v>
      </c>
      <c r="F94" s="19">
        <f t="shared" ref="F94:G94" si="80">F25-F59</f>
        <v>13650</v>
      </c>
      <c r="G94" s="19">
        <f t="shared" si="80"/>
        <v>13650</v>
      </c>
      <c r="H94" s="19">
        <f t="shared" ref="H94:I94" si="81">H25-H59</f>
        <v>13650</v>
      </c>
      <c r="I94" s="19">
        <f t="shared" si="81"/>
        <v>13650</v>
      </c>
      <c r="J94" s="19">
        <f t="shared" ref="J94:N94" si="82">J25-J59</f>
        <v>13650</v>
      </c>
      <c r="K94" s="19">
        <f t="shared" si="82"/>
        <v>13650</v>
      </c>
      <c r="L94" s="19">
        <f t="shared" si="82"/>
        <v>13650</v>
      </c>
      <c r="M94" s="19">
        <f t="shared" si="82"/>
        <v>13650</v>
      </c>
      <c r="N94" s="19">
        <f t="shared" si="82"/>
        <v>13650</v>
      </c>
      <c r="O94" s="53">
        <f t="shared" ref="O94" si="83">SUM(O86:O93)</f>
        <v>45412.049999999996</v>
      </c>
    </row>
    <row r="95" spans="1:15">
      <c r="B95" s="11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56"/>
    </row>
    <row r="96" spans="1:15">
      <c r="B96" s="11" t="s">
        <v>74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56"/>
    </row>
    <row r="97" spans="1:15">
      <c r="B97" s="12" t="s">
        <v>31</v>
      </c>
      <c r="C97" s="20">
        <f t="shared" ref="C97:E105" si="84">C28-C62</f>
        <v>1366.6366666666668</v>
      </c>
      <c r="D97" s="20">
        <f t="shared" si="84"/>
        <v>-528.57333333333418</v>
      </c>
      <c r="E97" s="20">
        <f t="shared" si="84"/>
        <v>680.03666666666641</v>
      </c>
      <c r="F97" s="20">
        <f t="shared" ref="F97:G97" si="85">F28-F62</f>
        <v>3502.4166666666665</v>
      </c>
      <c r="G97" s="20">
        <f t="shared" si="85"/>
        <v>3502.4166666666665</v>
      </c>
      <c r="H97" s="20">
        <f t="shared" ref="H97:I97" si="86">H28-H62</f>
        <v>3502.4166666666665</v>
      </c>
      <c r="I97" s="20">
        <f t="shared" si="86"/>
        <v>3502.4166666666665</v>
      </c>
      <c r="J97" s="20">
        <f t="shared" ref="J97:N97" si="87">J28-J62</f>
        <v>3502.4166666666665</v>
      </c>
      <c r="K97" s="20">
        <f t="shared" si="87"/>
        <v>3502.4166666666665</v>
      </c>
      <c r="L97" s="20">
        <f t="shared" si="87"/>
        <v>3502.4166666666665</v>
      </c>
      <c r="M97" s="20">
        <f t="shared" si="87"/>
        <v>3502.4166666666665</v>
      </c>
      <c r="N97" s="20">
        <f t="shared" si="87"/>
        <v>3502.4166666666665</v>
      </c>
      <c r="O97" s="52">
        <f t="shared" ref="O97:O104" si="88">SUM(C97:N97)</f>
        <v>33039.85</v>
      </c>
    </row>
    <row r="98" spans="1:15">
      <c r="B98" s="12" t="s">
        <v>32</v>
      </c>
      <c r="C98" s="20">
        <f t="shared" si="84"/>
        <v>214.66666666666666</v>
      </c>
      <c r="D98" s="20">
        <f t="shared" si="84"/>
        <v>214.66666666666666</v>
      </c>
      <c r="E98" s="20">
        <f t="shared" si="84"/>
        <v>214.66666666666666</v>
      </c>
      <c r="F98" s="20">
        <f t="shared" ref="F98:G98" si="89">F29-F63</f>
        <v>214.66666666666666</v>
      </c>
      <c r="G98" s="20">
        <f t="shared" si="89"/>
        <v>214.66666666666666</v>
      </c>
      <c r="H98" s="20">
        <f t="shared" ref="H98:I98" si="90">H29-H63</f>
        <v>214.66666666666666</v>
      </c>
      <c r="I98" s="20">
        <f t="shared" si="90"/>
        <v>214.66666666666666</v>
      </c>
      <c r="J98" s="20">
        <f t="shared" ref="J98:N98" si="91">J29-J63</f>
        <v>214.66666666666666</v>
      </c>
      <c r="K98" s="20">
        <f>K29-K42</f>
        <v>214.66666666666666</v>
      </c>
      <c r="L98" s="20">
        <f t="shared" si="91"/>
        <v>214.66666666666666</v>
      </c>
      <c r="M98" s="20">
        <f t="shared" si="91"/>
        <v>214.66666666666666</v>
      </c>
      <c r="N98" s="20">
        <f t="shared" si="91"/>
        <v>214.66666666666666</v>
      </c>
      <c r="O98" s="52">
        <f t="shared" si="88"/>
        <v>2576</v>
      </c>
    </row>
    <row r="99" spans="1:15">
      <c r="B99" s="12" t="s">
        <v>97</v>
      </c>
      <c r="C99" s="20">
        <f t="shared" si="84"/>
        <v>0</v>
      </c>
      <c r="D99" s="20">
        <f t="shared" si="84"/>
        <v>0</v>
      </c>
      <c r="E99" s="20">
        <f t="shared" si="84"/>
        <v>0</v>
      </c>
      <c r="F99" s="20">
        <f t="shared" ref="F99:G99" si="92">F30-F64</f>
        <v>0</v>
      </c>
      <c r="G99" s="20">
        <f t="shared" si="92"/>
        <v>0</v>
      </c>
      <c r="H99" s="20">
        <f t="shared" ref="H99:I99" si="93">H30-H64</f>
        <v>0</v>
      </c>
      <c r="I99" s="20">
        <f t="shared" si="93"/>
        <v>0</v>
      </c>
      <c r="J99" s="20">
        <f t="shared" ref="J99:N99" si="94">J30-J64</f>
        <v>0</v>
      </c>
      <c r="K99" s="20">
        <f>K30-K43</f>
        <v>0</v>
      </c>
      <c r="L99" s="20">
        <f t="shared" si="94"/>
        <v>0</v>
      </c>
      <c r="M99" s="20">
        <f t="shared" si="94"/>
        <v>0</v>
      </c>
      <c r="N99" s="20">
        <f t="shared" si="94"/>
        <v>0</v>
      </c>
      <c r="O99" s="52">
        <f t="shared" si="88"/>
        <v>0</v>
      </c>
    </row>
    <row r="100" spans="1:15" hidden="1">
      <c r="B100" s="12" t="s">
        <v>33</v>
      </c>
      <c r="C100" s="20">
        <f t="shared" si="84"/>
        <v>0</v>
      </c>
      <c r="D100" s="20">
        <f t="shared" si="84"/>
        <v>0</v>
      </c>
      <c r="E100" s="20">
        <f t="shared" si="84"/>
        <v>0</v>
      </c>
      <c r="F100" s="20">
        <f t="shared" ref="F100:G100" si="95">F31-F65</f>
        <v>0</v>
      </c>
      <c r="G100" s="20">
        <f t="shared" si="95"/>
        <v>0</v>
      </c>
      <c r="H100" s="20">
        <f t="shared" ref="H100:I100" si="96">H31-H65</f>
        <v>0</v>
      </c>
      <c r="I100" s="20">
        <f t="shared" si="96"/>
        <v>0</v>
      </c>
      <c r="J100" s="20">
        <f t="shared" ref="J100:N100" si="97">J31-J65</f>
        <v>0</v>
      </c>
      <c r="K100" s="20">
        <f t="shared" si="97"/>
        <v>0</v>
      </c>
      <c r="L100" s="20">
        <f t="shared" si="97"/>
        <v>0</v>
      </c>
      <c r="M100" s="20">
        <f t="shared" si="97"/>
        <v>0</v>
      </c>
      <c r="N100" s="20">
        <f t="shared" si="97"/>
        <v>0</v>
      </c>
      <c r="O100" s="52">
        <f t="shared" si="88"/>
        <v>0</v>
      </c>
    </row>
    <row r="101" spans="1:15" hidden="1">
      <c r="B101" s="12" t="s">
        <v>34</v>
      </c>
      <c r="C101" s="20">
        <f t="shared" si="84"/>
        <v>0</v>
      </c>
      <c r="D101" s="20">
        <f t="shared" si="84"/>
        <v>0</v>
      </c>
      <c r="E101" s="20">
        <f t="shared" si="84"/>
        <v>0</v>
      </c>
      <c r="F101" s="20">
        <f t="shared" ref="F101:G101" si="98">F32-F66</f>
        <v>0</v>
      </c>
      <c r="G101" s="20">
        <f t="shared" si="98"/>
        <v>0</v>
      </c>
      <c r="H101" s="20">
        <f t="shared" ref="H101:I101" si="99">H32-H66</f>
        <v>0</v>
      </c>
      <c r="I101" s="20">
        <f t="shared" si="99"/>
        <v>0</v>
      </c>
      <c r="J101" s="20">
        <f t="shared" ref="J101:N101" si="100">J32-J66</f>
        <v>0</v>
      </c>
      <c r="K101" s="20">
        <f t="shared" si="100"/>
        <v>0</v>
      </c>
      <c r="L101" s="20">
        <f t="shared" si="100"/>
        <v>0</v>
      </c>
      <c r="M101" s="20">
        <f t="shared" si="100"/>
        <v>0</v>
      </c>
      <c r="N101" s="20">
        <f t="shared" si="100"/>
        <v>0</v>
      </c>
      <c r="O101" s="52">
        <f t="shared" si="88"/>
        <v>0</v>
      </c>
    </row>
    <row r="102" spans="1:15">
      <c r="B102" s="12" t="s">
        <v>35</v>
      </c>
      <c r="C102" s="20">
        <f t="shared" si="84"/>
        <v>0</v>
      </c>
      <c r="D102" s="20">
        <f t="shared" si="84"/>
        <v>0</v>
      </c>
      <c r="E102" s="20">
        <f t="shared" si="84"/>
        <v>0</v>
      </c>
      <c r="F102" s="20">
        <f t="shared" ref="F102:G103" si="101">F33-F67</f>
        <v>0</v>
      </c>
      <c r="G102" s="20">
        <f t="shared" si="101"/>
        <v>0</v>
      </c>
      <c r="H102" s="20">
        <f t="shared" ref="H102:I103" si="102">H33-H67</f>
        <v>0</v>
      </c>
      <c r="I102" s="20">
        <f t="shared" si="102"/>
        <v>0</v>
      </c>
      <c r="J102" s="20">
        <f t="shared" ref="J102:N103" si="103">J33-J67</f>
        <v>0</v>
      </c>
      <c r="K102" s="20">
        <f t="shared" si="103"/>
        <v>0</v>
      </c>
      <c r="L102" s="20">
        <f t="shared" si="103"/>
        <v>0</v>
      </c>
      <c r="M102" s="20">
        <f t="shared" si="103"/>
        <v>0</v>
      </c>
      <c r="N102" s="20">
        <f t="shared" si="103"/>
        <v>0</v>
      </c>
      <c r="O102" s="52">
        <f t="shared" si="88"/>
        <v>0</v>
      </c>
    </row>
    <row r="103" spans="1:15">
      <c r="B103" s="12" t="s">
        <v>99</v>
      </c>
      <c r="C103" s="20">
        <f t="shared" si="84"/>
        <v>857.5</v>
      </c>
      <c r="D103" s="20">
        <f t="shared" si="84"/>
        <v>857.5</v>
      </c>
      <c r="E103" s="20">
        <f t="shared" si="84"/>
        <v>857.5</v>
      </c>
      <c r="F103" s="20">
        <f t="shared" si="101"/>
        <v>857.5</v>
      </c>
      <c r="G103" s="20">
        <f t="shared" si="101"/>
        <v>857.5</v>
      </c>
      <c r="H103" s="20">
        <f t="shared" si="102"/>
        <v>857.5</v>
      </c>
      <c r="I103" s="20">
        <f t="shared" si="102"/>
        <v>857.5</v>
      </c>
      <c r="J103" s="20">
        <f t="shared" si="103"/>
        <v>857.5</v>
      </c>
      <c r="K103" s="20">
        <f t="shared" si="103"/>
        <v>857.5</v>
      </c>
      <c r="L103" s="20">
        <f t="shared" si="103"/>
        <v>857.5</v>
      </c>
      <c r="M103" s="20">
        <f t="shared" si="103"/>
        <v>857.5</v>
      </c>
      <c r="N103" s="20">
        <f t="shared" si="103"/>
        <v>857.5</v>
      </c>
      <c r="O103" s="52">
        <f t="shared" ref="O103" si="104">SUM(C103:N103)</f>
        <v>10290</v>
      </c>
    </row>
    <row r="104" spans="1:15">
      <c r="B104" s="12" t="s">
        <v>36</v>
      </c>
      <c r="C104" s="20">
        <f t="shared" si="84"/>
        <v>12399</v>
      </c>
      <c r="D104" s="20">
        <f t="shared" si="84"/>
        <v>12399</v>
      </c>
      <c r="E104" s="20">
        <f t="shared" si="84"/>
        <v>12399</v>
      </c>
      <c r="F104" s="20">
        <f t="shared" ref="F104:G104" si="105">F35-F69</f>
        <v>12399</v>
      </c>
      <c r="G104" s="20">
        <f t="shared" si="105"/>
        <v>12399</v>
      </c>
      <c r="H104" s="20">
        <f t="shared" ref="H104:I104" si="106">H35-H69</f>
        <v>12399</v>
      </c>
      <c r="I104" s="20">
        <f t="shared" si="106"/>
        <v>12399</v>
      </c>
      <c r="J104" s="20">
        <f t="shared" ref="J104:N104" si="107">J35-J69</f>
        <v>12399</v>
      </c>
      <c r="K104" s="20">
        <f t="shared" si="107"/>
        <v>12399</v>
      </c>
      <c r="L104" s="20">
        <f t="shared" si="107"/>
        <v>12399</v>
      </c>
      <c r="M104" s="20">
        <f t="shared" si="107"/>
        <v>12399</v>
      </c>
      <c r="N104" s="20">
        <f t="shared" si="107"/>
        <v>12399</v>
      </c>
      <c r="O104" s="52">
        <f t="shared" si="88"/>
        <v>148788</v>
      </c>
    </row>
    <row r="105" spans="1:15">
      <c r="A105" t="s">
        <v>81</v>
      </c>
      <c r="B105" s="11" t="s">
        <v>41</v>
      </c>
      <c r="C105" s="19">
        <f t="shared" si="84"/>
        <v>14837.803333333333</v>
      </c>
      <c r="D105" s="19">
        <f t="shared" si="84"/>
        <v>12942.593333333331</v>
      </c>
      <c r="E105" s="19">
        <f t="shared" si="84"/>
        <v>14151.203333333331</v>
      </c>
      <c r="F105" s="19">
        <f t="shared" ref="F105:G105" si="108">F36-F70</f>
        <v>16973.583333333332</v>
      </c>
      <c r="G105" s="19">
        <f t="shared" si="108"/>
        <v>16973.583333333332</v>
      </c>
      <c r="H105" s="19">
        <f t="shared" ref="H105:I105" si="109">H36-H70</f>
        <v>16973.583333333332</v>
      </c>
      <c r="I105" s="19">
        <f t="shared" si="109"/>
        <v>16973.583333333332</v>
      </c>
      <c r="J105" s="19">
        <f t="shared" ref="J105:N105" si="110">J36-J70</f>
        <v>16973.583333333332</v>
      </c>
      <c r="K105" s="19">
        <f t="shared" si="110"/>
        <v>16973.583333333332</v>
      </c>
      <c r="L105" s="19">
        <f t="shared" si="110"/>
        <v>16973.583333333332</v>
      </c>
      <c r="M105" s="19">
        <f t="shared" si="110"/>
        <v>16973.583333333332</v>
      </c>
      <c r="N105" s="19">
        <f t="shared" si="110"/>
        <v>16973.583333333332</v>
      </c>
      <c r="O105" s="53">
        <f t="shared" ref="O105" si="111">SUM(O97:O104)</f>
        <v>194693.85</v>
      </c>
    </row>
    <row r="106" spans="1:15">
      <c r="B106" s="11"/>
      <c r="C106" s="20"/>
      <c r="D106" s="20"/>
      <c r="E106" s="20"/>
      <c r="F106" s="20"/>
      <c r="G106" s="20"/>
      <c r="H106" s="20"/>
      <c r="I106" s="20"/>
      <c r="J106" s="35"/>
      <c r="K106" s="35"/>
      <c r="L106" s="35"/>
      <c r="M106" s="35"/>
      <c r="N106" s="35"/>
      <c r="O106" s="56"/>
    </row>
    <row r="107" spans="1:15" ht="15.75" thickBot="1">
      <c r="B107" s="11" t="s">
        <v>41</v>
      </c>
      <c r="C107" s="38">
        <f>C38-C72</f>
        <v>-3176.0533333333151</v>
      </c>
      <c r="D107" s="38">
        <f t="shared" ref="D107:E107" si="112">D38-D72</f>
        <v>32293.696666666685</v>
      </c>
      <c r="E107" s="38">
        <f t="shared" si="112"/>
        <v>51081.516666666692</v>
      </c>
      <c r="F107" s="38">
        <f t="shared" ref="F107:G107" si="113">F38-F72</f>
        <v>182318.91666666669</v>
      </c>
      <c r="G107" s="38">
        <f t="shared" si="113"/>
        <v>182318.91666666669</v>
      </c>
      <c r="H107" s="38">
        <f t="shared" ref="H107:J107" si="114">H38-H72</f>
        <v>182318.91666666669</v>
      </c>
      <c r="I107" s="38">
        <f t="shared" si="114"/>
        <v>182318.91666666669</v>
      </c>
      <c r="J107" s="38">
        <f t="shared" si="114"/>
        <v>182318.91666666669</v>
      </c>
      <c r="K107" s="38">
        <f t="shared" ref="K107:N107" si="115">K38-K72</f>
        <v>182318.91666666669</v>
      </c>
      <c r="L107" s="38">
        <f t="shared" si="115"/>
        <v>182318.91666666669</v>
      </c>
      <c r="M107" s="38">
        <f t="shared" si="115"/>
        <v>182318.91666666669</v>
      </c>
      <c r="N107" s="38">
        <f t="shared" si="115"/>
        <v>182318.91666666669</v>
      </c>
      <c r="O107" s="55">
        <f t="shared" ref="O107" si="116">O105+O94+O83</f>
        <v>1721069.41</v>
      </c>
    </row>
    <row r="108" spans="1:15" ht="15.75" thickTop="1">
      <c r="B108" s="9"/>
    </row>
    <row r="109" spans="1:15"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  <c r="C114" s="62"/>
      <c r="D114" s="62"/>
      <c r="E114" s="62"/>
      <c r="F114" s="63"/>
      <c r="G114" s="63"/>
      <c r="H114" s="63"/>
      <c r="I114" s="63"/>
      <c r="J114" s="63"/>
      <c r="K114" s="63"/>
      <c r="L114" s="63"/>
      <c r="M114" s="63"/>
      <c r="N114" s="63"/>
      <c r="O114" s="63"/>
    </row>
    <row r="115" spans="2:15" ht="29.25" customHeight="1">
      <c r="B115" s="96" t="s">
        <v>119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125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133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'WA-Sch91 Rider Balance'!J17</f>
        <v>-2203799.4310607659</v>
      </c>
    </row>
    <row r="3" spans="1:2">
      <c r="A3" s="81"/>
    </row>
    <row r="4" spans="1:2">
      <c r="A4" s="81" t="s">
        <v>91</v>
      </c>
      <c r="B4" s="1">
        <v>5433000</v>
      </c>
    </row>
    <row r="5" spans="1:2">
      <c r="A5" s="81" t="s">
        <v>92</v>
      </c>
      <c r="B5" s="88">
        <f>SUM('WA-Sch91 Rider Balance'!K13:N13)</f>
        <v>5026226.666666666</v>
      </c>
    </row>
    <row r="6" spans="1:2">
      <c r="A6" s="81"/>
      <c r="B6" s="1">
        <f>B5-B4</f>
        <v>-406773.33333333395</v>
      </c>
    </row>
    <row r="8" spans="1:2">
      <c r="A8" s="81" t="s">
        <v>93</v>
      </c>
      <c r="B8" s="3">
        <f>B2+B6</f>
        <v>-2610572.7643940998</v>
      </c>
    </row>
    <row r="10" spans="1:2">
      <c r="A10" s="81" t="s">
        <v>94</v>
      </c>
      <c r="B10" s="1">
        <v>16735000</v>
      </c>
    </row>
    <row r="11" spans="1:2">
      <c r="A11" t="s">
        <v>95</v>
      </c>
      <c r="B11" s="89"/>
    </row>
    <row r="12" spans="1:2">
      <c r="B12" s="3">
        <f>B11-B10</f>
        <v>-16735000</v>
      </c>
    </row>
    <row r="14" spans="1:2">
      <c r="A14" t="s">
        <v>96</v>
      </c>
      <c r="B14" s="3">
        <f>B8+B12</f>
        <v>-19345572.764394101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-815607.5507901567</v>
      </c>
      <c r="E5" s="43">
        <v>-1754369.091060766</v>
      </c>
      <c r="F5" s="43">
        <v>-2203799.4310607659</v>
      </c>
      <c r="G5" s="43">
        <v>-2203799.4310607659</v>
      </c>
      <c r="H5" s="43">
        <v>-2203799.4310607659</v>
      </c>
      <c r="I5" s="43">
        <v>-2203799.4310607659</v>
      </c>
      <c r="J5" s="43">
        <v>-2203799.4310607659</v>
      </c>
      <c r="K5" s="43">
        <v>-2203799.4310607659</v>
      </c>
      <c r="L5" s="43">
        <v>-2203799.4310607659</v>
      </c>
      <c r="M5" s="43">
        <v>-2203799.4310607659</v>
      </c>
      <c r="N5" s="43">
        <v>-2203799.4310607659</v>
      </c>
      <c r="P5" s="44">
        <v>-823050.81</v>
      </c>
      <c r="Q5" s="47">
        <v>-2203799.4310607663</v>
      </c>
      <c r="R5" s="47">
        <v>-2203799.4310607663</v>
      </c>
      <c r="S5" s="47">
        <v>-2203799.4310607663</v>
      </c>
      <c r="AH5" s="47">
        <v>-2767387.7546521472</v>
      </c>
      <c r="AI5" s="47">
        <v>-2767387.7546521472</v>
      </c>
      <c r="AJ5" s="47">
        <v>-2767387.7546521472</v>
      </c>
      <c r="AK5" s="47">
        <v>-2767387.7546521472</v>
      </c>
      <c r="AL5" s="47">
        <v>-2767387.7546521472</v>
      </c>
      <c r="AM5" s="47">
        <v>-2767387.7546521472</v>
      </c>
      <c r="AN5" s="47">
        <v>-2767387.7546521472</v>
      </c>
      <c r="AO5" s="47">
        <v>-2767387.7546521472</v>
      </c>
      <c r="AP5" s="47">
        <v>-2767387.7546521472</v>
      </c>
      <c r="AQ5" s="47">
        <v>-2767387.7546521472</v>
      </c>
      <c r="AR5" s="47">
        <v>-2767387.7546521472</v>
      </c>
      <c r="AS5" s="47">
        <v>-2767387.7546521472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4709289.2510607662</v>
      </c>
      <c r="P8" s="47">
        <v>4709289.2510607662</v>
      </c>
      <c r="Q8" s="47">
        <v>0</v>
      </c>
      <c r="R8" s="47">
        <v>0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-1235296.8394850942</v>
      </c>
      <c r="G9" s="48">
        <v>-1265114.5475734838</v>
      </c>
      <c r="H9" s="48">
        <v>-1281951.6614913556</v>
      </c>
      <c r="I9" s="48">
        <v>-1398098.541419263</v>
      </c>
      <c r="J9" s="48">
        <v>-1441661.5086758845</v>
      </c>
      <c r="K9" s="48">
        <v>-1342411.8521849632</v>
      </c>
      <c r="L9" s="48">
        <v>-1373772.9692104692</v>
      </c>
      <c r="M9" s="48">
        <v>-1448813.5812285233</v>
      </c>
      <c r="N9" s="48">
        <v>-1627888.0756961908</v>
      </c>
      <c r="O9" s="48">
        <v>-12462541.33714186</v>
      </c>
      <c r="P9" s="48">
        <v>-47531.760176632553</v>
      </c>
      <c r="Q9" s="48">
        <v>-3782363.0485499334</v>
      </c>
      <c r="R9" s="48">
        <v>-4182171.9022801109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1676236.73</v>
      </c>
      <c r="D12" s="45">
        <v>622150.79</v>
      </c>
      <c r="E12" s="45">
        <v>1030153.1100000001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3328540.63</v>
      </c>
      <c r="P12" s="47">
        <v>3328540.63</v>
      </c>
      <c r="Q12" s="47">
        <v>0</v>
      </c>
      <c r="R12" s="47">
        <v>0</v>
      </c>
      <c r="S12" s="47">
        <v>0</v>
      </c>
    </row>
    <row r="13" spans="1:45">
      <c r="B13" s="40" t="s">
        <v>19</v>
      </c>
      <c r="C13" s="49">
        <v>-419680.06333333347</v>
      </c>
      <c r="D13" s="49">
        <v>634405.87666666647</v>
      </c>
      <c r="E13" s="49">
        <v>226403.55666666641</v>
      </c>
      <c r="F13" s="49">
        <v>1256556.6666666665</v>
      </c>
      <c r="G13" s="49">
        <v>1256556.6666666665</v>
      </c>
      <c r="H13" s="49">
        <v>1256556.6666666665</v>
      </c>
      <c r="I13" s="49">
        <v>1256556.6666666665</v>
      </c>
      <c r="J13" s="49">
        <v>1256556.6666666665</v>
      </c>
      <c r="K13" s="49">
        <v>1256556.6666666665</v>
      </c>
      <c r="L13" s="49">
        <v>1256556.6666666665</v>
      </c>
      <c r="M13" s="49">
        <v>1256556.6666666665</v>
      </c>
      <c r="N13" s="49">
        <v>1256556.6666666665</v>
      </c>
      <c r="O13" s="48">
        <v>11750139.369999995</v>
      </c>
      <c r="P13" s="49">
        <v>441129.36999999965</v>
      </c>
      <c r="Q13" s="49">
        <v>3769669.9999999995</v>
      </c>
      <c r="R13" s="49">
        <v>3769669.9999999995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-7443.2592098433524</v>
      </c>
      <c r="D15" s="45">
        <v>938761.54027060932</v>
      </c>
      <c r="E15" s="45">
        <v>449430.33999999985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1380748.6210607663</v>
      </c>
      <c r="P15" s="45">
        <v>1380748.6210607663</v>
      </c>
      <c r="Q15" s="45">
        <v>0</v>
      </c>
      <c r="R15" s="45">
        <v>0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-815607.5507901567</v>
      </c>
      <c r="D17" s="60">
        <v>-1754369.091060766</v>
      </c>
      <c r="E17" s="60">
        <v>-2203799.4310607659</v>
      </c>
      <c r="F17" s="60">
        <v>-2203799.4310607659</v>
      </c>
      <c r="G17" s="60">
        <v>-2203799.4310607659</v>
      </c>
      <c r="H17" s="60">
        <v>-2203799.4310607659</v>
      </c>
      <c r="I17" s="60">
        <v>-2203799.4310607659</v>
      </c>
      <c r="J17" s="60">
        <v>-2203799.4310607659</v>
      </c>
      <c r="K17" s="60">
        <v>-2203799.4310607659</v>
      </c>
      <c r="L17" s="60">
        <v>-2203799.4310607659</v>
      </c>
      <c r="M17" s="60">
        <v>-2203799.4310607659</v>
      </c>
      <c r="N17" s="60">
        <v>-2203799.4310607659</v>
      </c>
      <c r="O17" s="47"/>
      <c r="P17" s="47">
        <v>-2203799.4310607663</v>
      </c>
      <c r="Q17" s="47">
        <v>-2203799.4310607663</v>
      </c>
      <c r="R17" s="47">
        <v>-2203799.4310607663</v>
      </c>
      <c r="S17" s="47">
        <v>-2203799.4310607663</v>
      </c>
    </row>
    <row r="18" spans="2:45" ht="15.75" thickTop="1"/>
    <row r="19" spans="2:45">
      <c r="B19" s="40" t="s">
        <v>28</v>
      </c>
      <c r="D19" s="44" t="s">
        <v>58</v>
      </c>
      <c r="E19" s="44" t="s">
        <v>58</v>
      </c>
      <c r="F19" s="44">
        <v>-2182539.6038791933</v>
      </c>
      <c r="G19" s="44">
        <v>-2212357.3119675829</v>
      </c>
      <c r="H19" s="44">
        <v>-2229194.4258854552</v>
      </c>
      <c r="I19" s="44">
        <v>-2345341.3058133624</v>
      </c>
      <c r="J19" s="44">
        <v>-2388904.2730699838</v>
      </c>
      <c r="K19" s="44">
        <v>-2289654.6165790628</v>
      </c>
      <c r="L19" s="44">
        <v>-2321015.7336045685</v>
      </c>
      <c r="M19" s="44">
        <v>-2396056.3456226229</v>
      </c>
      <c r="N19" s="47">
        <v>-2767387.7546521472</v>
      </c>
      <c r="P19" s="47"/>
      <c r="AH19" s="47">
        <v>-2767387.7546521472</v>
      </c>
      <c r="AI19" s="47">
        <v>-2767387.7546521472</v>
      </c>
      <c r="AJ19" s="47">
        <v>-2767387.7546521472</v>
      </c>
      <c r="AK19" s="47">
        <v>-2767387.7546521472</v>
      </c>
      <c r="AL19" s="47">
        <v>-2767387.7546521472</v>
      </c>
      <c r="AM19" s="47">
        <v>-2767387.7546521472</v>
      </c>
      <c r="AN19" s="47">
        <v>-2767387.7546521472</v>
      </c>
      <c r="AO19" s="47">
        <v>-2767387.7546521472</v>
      </c>
      <c r="AP19" s="47">
        <v>-2767387.7546521472</v>
      </c>
      <c r="AQ19" s="47">
        <v>-2767387.7546521472</v>
      </c>
      <c r="AR19" s="47">
        <v>-2767387.7546521472</v>
      </c>
      <c r="AS19" s="47">
        <v>-2767387.7546521472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6" t="s">
        <v>120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45">
      <c r="B24" s="96" t="s">
        <v>126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45">
      <c r="B25" s="96" t="s">
        <v>136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2:45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45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2:45">
      <c r="B28" s="41" t="s">
        <v>58</v>
      </c>
    </row>
    <row r="29" spans="2:45">
      <c r="B29" s="95" t="s">
        <v>58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2:45">
      <c r="B30" s="95" t="s">
        <v>58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2:45">
      <c r="B31" s="95" t="s">
        <v>58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2:45">
      <c r="B32" s="94" t="s">
        <v>58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</sheetData>
  <mergeCells count="9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117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97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64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B17" s="5" t="s">
        <v>31</v>
      </c>
      <c r="C17" s="20">
        <f>436883/12</f>
        <v>36406.916666666664</v>
      </c>
      <c r="D17" s="18">
        <f>C17</f>
        <v>36406.916666666664</v>
      </c>
      <c r="E17" s="18">
        <f t="shared" ref="E17:N17" si="6">D17</f>
        <v>36406.916666666664</v>
      </c>
      <c r="F17" s="18">
        <f t="shared" si="6"/>
        <v>36406.916666666664</v>
      </c>
      <c r="G17" s="18">
        <f t="shared" si="6"/>
        <v>36406.916666666664</v>
      </c>
      <c r="H17" s="18">
        <f t="shared" si="6"/>
        <v>36406.916666666664</v>
      </c>
      <c r="I17" s="18">
        <f t="shared" si="6"/>
        <v>36406.916666666664</v>
      </c>
      <c r="J17" s="18">
        <f t="shared" si="6"/>
        <v>36406.916666666664</v>
      </c>
      <c r="K17" s="18">
        <f t="shared" si="6"/>
        <v>36406.916666666664</v>
      </c>
      <c r="L17" s="18">
        <f t="shared" si="6"/>
        <v>36406.916666666664</v>
      </c>
      <c r="M17" s="18">
        <f t="shared" si="6"/>
        <v>36406.916666666664</v>
      </c>
      <c r="N17" s="18">
        <f t="shared" si="6"/>
        <v>36406.916666666664</v>
      </c>
      <c r="O17" s="16">
        <f t="shared" ref="O17:O24" si="7">SUM(C17:N17)</f>
        <v>436883.00000000006</v>
      </c>
    </row>
    <row r="18" spans="1:15">
      <c r="B18" s="5" t="s">
        <v>32</v>
      </c>
      <c r="C18" s="18">
        <f>229483/12</f>
        <v>19123.583333333332</v>
      </c>
      <c r="D18" s="18">
        <f t="shared" ref="D18:N24" si="8">C18</f>
        <v>19123.583333333332</v>
      </c>
      <c r="E18" s="18">
        <f t="shared" si="8"/>
        <v>19123.583333333332</v>
      </c>
      <c r="F18" s="18">
        <f t="shared" si="8"/>
        <v>19123.583333333332</v>
      </c>
      <c r="G18" s="18">
        <f t="shared" si="8"/>
        <v>19123.583333333332</v>
      </c>
      <c r="H18" s="18">
        <f t="shared" si="8"/>
        <v>19123.583333333332</v>
      </c>
      <c r="I18" s="18">
        <f t="shared" si="8"/>
        <v>19123.583333333332</v>
      </c>
      <c r="J18" s="18">
        <f t="shared" si="8"/>
        <v>19123.583333333332</v>
      </c>
      <c r="K18" s="18">
        <f t="shared" si="8"/>
        <v>19123.583333333332</v>
      </c>
      <c r="L18" s="18">
        <f t="shared" si="8"/>
        <v>19123.583333333332</v>
      </c>
      <c r="M18" s="18">
        <f t="shared" si="8"/>
        <v>19123.583333333332</v>
      </c>
      <c r="N18" s="18">
        <f t="shared" si="8"/>
        <v>19123.583333333332</v>
      </c>
      <c r="O18" s="16">
        <f t="shared" si="7"/>
        <v>229483.00000000003</v>
      </c>
    </row>
    <row r="19" spans="1:15">
      <c r="B19" s="5" t="s">
        <v>97</v>
      </c>
      <c r="C19" s="15">
        <f>152275/12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5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5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5">
      <c r="B22" s="5" t="s">
        <v>35</v>
      </c>
      <c r="C22" s="18">
        <f>1512000/12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5">
      <c r="B23" s="5" t="s">
        <v>99</v>
      </c>
      <c r="C23" s="18">
        <f>926800/12</f>
        <v>77233.333333333328</v>
      </c>
      <c r="D23" s="18">
        <f t="shared" si="8"/>
        <v>77233.333333333328</v>
      </c>
      <c r="E23" s="18">
        <f t="shared" si="8"/>
        <v>77233.333333333328</v>
      </c>
      <c r="F23" s="18">
        <f t="shared" si="8"/>
        <v>77233.333333333328</v>
      </c>
      <c r="G23" s="18">
        <f t="shared" si="8"/>
        <v>77233.333333333328</v>
      </c>
      <c r="H23" s="18">
        <f t="shared" si="8"/>
        <v>77233.333333333328</v>
      </c>
      <c r="I23" s="18">
        <f t="shared" si="8"/>
        <v>77233.333333333328</v>
      </c>
      <c r="J23" s="18">
        <f t="shared" si="8"/>
        <v>77233.333333333328</v>
      </c>
      <c r="K23" s="18">
        <f t="shared" si="8"/>
        <v>77233.333333333328</v>
      </c>
      <c r="L23" s="18">
        <f t="shared" si="8"/>
        <v>77233.333333333328</v>
      </c>
      <c r="M23" s="18">
        <f t="shared" si="8"/>
        <v>77233.333333333328</v>
      </c>
      <c r="N23" s="18">
        <f t="shared" si="8"/>
        <v>77233.333333333328</v>
      </c>
      <c r="O23" s="16">
        <f t="shared" ref="O23" si="9">SUM(C23:N23)</f>
        <v>926800.00000000012</v>
      </c>
    </row>
    <row r="24" spans="1:15">
      <c r="B24" s="5" t="s">
        <v>36</v>
      </c>
      <c r="C24" s="18">
        <f>1471536/12</f>
        <v>122628</v>
      </c>
      <c r="D24" s="18">
        <f t="shared" si="8"/>
        <v>122628</v>
      </c>
      <c r="E24" s="18">
        <f t="shared" si="8"/>
        <v>122628</v>
      </c>
      <c r="F24" s="18">
        <f t="shared" si="8"/>
        <v>122628</v>
      </c>
      <c r="G24" s="18">
        <f t="shared" si="8"/>
        <v>122628</v>
      </c>
      <c r="H24" s="18">
        <f t="shared" si="8"/>
        <v>122628</v>
      </c>
      <c r="I24" s="18">
        <f t="shared" si="8"/>
        <v>122628</v>
      </c>
      <c r="J24" s="18">
        <f t="shared" si="8"/>
        <v>122628</v>
      </c>
      <c r="K24" s="18">
        <f t="shared" si="8"/>
        <v>122628</v>
      </c>
      <c r="L24" s="18">
        <f t="shared" si="8"/>
        <v>122628</v>
      </c>
      <c r="M24" s="18">
        <f t="shared" si="8"/>
        <v>122628</v>
      </c>
      <c r="N24" s="18">
        <f t="shared" si="8"/>
        <v>122628</v>
      </c>
      <c r="O24" s="16">
        <f t="shared" si="7"/>
        <v>1471536</v>
      </c>
    </row>
    <row r="25" spans="1:15">
      <c r="A25" t="s">
        <v>21</v>
      </c>
      <c r="B25" s="9" t="s">
        <v>45</v>
      </c>
      <c r="C25" s="19">
        <f t="shared" ref="C25:N25" si="10">SUM(C17:C24)</f>
        <v>394081.41666666663</v>
      </c>
      <c r="D25" s="19">
        <f t="shared" si="10"/>
        <v>394081.41666666663</v>
      </c>
      <c r="E25" s="19">
        <f t="shared" si="10"/>
        <v>394081.41666666663</v>
      </c>
      <c r="F25" s="19">
        <f t="shared" si="10"/>
        <v>394081.41666666663</v>
      </c>
      <c r="G25" s="19">
        <f t="shared" si="10"/>
        <v>394081.41666666663</v>
      </c>
      <c r="H25" s="19">
        <f t="shared" si="10"/>
        <v>394081.41666666663</v>
      </c>
      <c r="I25" s="19">
        <f t="shared" si="10"/>
        <v>394081.41666666663</v>
      </c>
      <c r="J25" s="19">
        <f t="shared" si="10"/>
        <v>394081.41666666663</v>
      </c>
      <c r="K25" s="19">
        <f t="shared" si="10"/>
        <v>394081.41666666663</v>
      </c>
      <c r="L25" s="19">
        <f t="shared" si="10"/>
        <v>394081.41666666663</v>
      </c>
      <c r="M25" s="19">
        <f t="shared" si="10"/>
        <v>394081.41666666663</v>
      </c>
      <c r="N25" s="19">
        <f t="shared" si="10"/>
        <v>394081.41666666663</v>
      </c>
      <c r="O25" s="19">
        <f>SUM(O17:O24)</f>
        <v>4728977</v>
      </c>
    </row>
    <row r="26" spans="1:15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>
      <c r="B27" s="9" t="s">
        <v>65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1:15">
      <c r="B28" s="5" t="s">
        <v>31</v>
      </c>
      <c r="C28" s="20">
        <f>279731/12</f>
        <v>23310.916666666668</v>
      </c>
      <c r="D28" s="18">
        <f>C28</f>
        <v>23310.916666666668</v>
      </c>
      <c r="E28" s="18">
        <f t="shared" ref="E28:N28" si="11">D28</f>
        <v>23310.916666666668</v>
      </c>
      <c r="F28" s="18">
        <f t="shared" si="11"/>
        <v>23310.916666666668</v>
      </c>
      <c r="G28" s="18">
        <f t="shared" si="11"/>
        <v>23310.916666666668</v>
      </c>
      <c r="H28" s="18">
        <f t="shared" si="11"/>
        <v>23310.916666666668</v>
      </c>
      <c r="I28" s="18">
        <f t="shared" si="11"/>
        <v>23310.916666666668</v>
      </c>
      <c r="J28" s="18">
        <f t="shared" si="11"/>
        <v>23310.916666666668</v>
      </c>
      <c r="K28" s="18">
        <f t="shared" si="11"/>
        <v>23310.916666666668</v>
      </c>
      <c r="L28" s="18">
        <f t="shared" si="11"/>
        <v>23310.916666666668</v>
      </c>
      <c r="M28" s="18">
        <f t="shared" si="11"/>
        <v>23310.916666666668</v>
      </c>
      <c r="N28" s="18">
        <f t="shared" si="11"/>
        <v>23310.916666666668</v>
      </c>
      <c r="O28" s="16">
        <f t="shared" ref="O28:O35" si="12">SUM(C28:N28)</f>
        <v>279730.99999999994</v>
      </c>
    </row>
    <row r="29" spans="1:15">
      <c r="B29" s="5" t="s">
        <v>32</v>
      </c>
      <c r="C29" s="18">
        <f>17272/12</f>
        <v>1439.3333333333333</v>
      </c>
      <c r="D29" s="18">
        <f t="shared" ref="D29:N35" si="13">C29</f>
        <v>1439.3333333333333</v>
      </c>
      <c r="E29" s="18">
        <f t="shared" si="13"/>
        <v>1439.3333333333333</v>
      </c>
      <c r="F29" s="18">
        <f t="shared" si="13"/>
        <v>1439.3333333333333</v>
      </c>
      <c r="G29" s="18">
        <f t="shared" si="13"/>
        <v>1439.3333333333333</v>
      </c>
      <c r="H29" s="18">
        <f t="shared" si="13"/>
        <v>1439.3333333333333</v>
      </c>
      <c r="I29" s="18">
        <f t="shared" si="13"/>
        <v>1439.3333333333333</v>
      </c>
      <c r="J29" s="18">
        <f t="shared" si="13"/>
        <v>1439.3333333333333</v>
      </c>
      <c r="K29" s="18">
        <f t="shared" si="13"/>
        <v>1439.3333333333333</v>
      </c>
      <c r="L29" s="18">
        <f t="shared" si="13"/>
        <v>1439.3333333333333</v>
      </c>
      <c r="M29" s="18">
        <f t="shared" si="13"/>
        <v>1439.3333333333333</v>
      </c>
      <c r="N29" s="18">
        <f t="shared" si="13"/>
        <v>1439.3333333333333</v>
      </c>
      <c r="O29" s="16">
        <f t="shared" si="12"/>
        <v>17272.000000000004</v>
      </c>
    </row>
    <row r="30" spans="1:15">
      <c r="B30" s="5" t="s">
        <v>97</v>
      </c>
      <c r="C30" s="18">
        <v>0</v>
      </c>
      <c r="D30" s="18">
        <f t="shared" si="13"/>
        <v>0</v>
      </c>
      <c r="E30" s="18">
        <f t="shared" si="13"/>
        <v>0</v>
      </c>
      <c r="F30" s="18">
        <f t="shared" si="13"/>
        <v>0</v>
      </c>
      <c r="G30" s="18">
        <f t="shared" si="13"/>
        <v>0</v>
      </c>
      <c r="H30" s="18">
        <f t="shared" si="13"/>
        <v>0</v>
      </c>
      <c r="I30" s="18">
        <f t="shared" si="13"/>
        <v>0</v>
      </c>
      <c r="J30" s="18">
        <f t="shared" si="13"/>
        <v>0</v>
      </c>
      <c r="K30" s="18">
        <f t="shared" si="13"/>
        <v>0</v>
      </c>
      <c r="L30" s="18">
        <f t="shared" si="13"/>
        <v>0</v>
      </c>
      <c r="M30" s="18">
        <f t="shared" si="13"/>
        <v>0</v>
      </c>
      <c r="N30" s="18">
        <f t="shared" si="13"/>
        <v>0</v>
      </c>
      <c r="O30" s="16">
        <f t="shared" si="12"/>
        <v>0</v>
      </c>
    </row>
    <row r="31" spans="1:15" hidden="1">
      <c r="B31" s="5" t="s">
        <v>33</v>
      </c>
      <c r="D31" s="18">
        <f t="shared" si="13"/>
        <v>0</v>
      </c>
      <c r="E31" s="18">
        <f t="shared" si="13"/>
        <v>0</v>
      </c>
      <c r="F31" s="18">
        <f t="shared" si="13"/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  <c r="J31" s="18">
        <f t="shared" si="13"/>
        <v>0</v>
      </c>
      <c r="K31" s="18">
        <f t="shared" si="13"/>
        <v>0</v>
      </c>
      <c r="L31" s="18">
        <f t="shared" si="13"/>
        <v>0</v>
      </c>
      <c r="M31" s="18">
        <f t="shared" si="13"/>
        <v>0</v>
      </c>
      <c r="N31" s="18">
        <f t="shared" si="13"/>
        <v>0</v>
      </c>
      <c r="O31" s="16">
        <f t="shared" si="12"/>
        <v>0</v>
      </c>
    </row>
    <row r="32" spans="1:15" hidden="1">
      <c r="B32" s="5" t="s">
        <v>34</v>
      </c>
      <c r="D32" s="18">
        <f t="shared" si="13"/>
        <v>0</v>
      </c>
      <c r="E32" s="18">
        <f t="shared" si="13"/>
        <v>0</v>
      </c>
      <c r="F32" s="18">
        <f t="shared" si="13"/>
        <v>0</v>
      </c>
      <c r="G32" s="18">
        <f t="shared" si="13"/>
        <v>0</v>
      </c>
      <c r="H32" s="18">
        <f t="shared" si="13"/>
        <v>0</v>
      </c>
      <c r="I32" s="18">
        <f t="shared" si="13"/>
        <v>0</v>
      </c>
      <c r="J32" s="18">
        <f t="shared" si="13"/>
        <v>0</v>
      </c>
      <c r="K32" s="18">
        <f t="shared" si="13"/>
        <v>0</v>
      </c>
      <c r="L32" s="18">
        <f t="shared" si="13"/>
        <v>0</v>
      </c>
      <c r="M32" s="18">
        <f t="shared" si="13"/>
        <v>0</v>
      </c>
      <c r="N32" s="18">
        <f t="shared" si="13"/>
        <v>0</v>
      </c>
      <c r="O32" s="16">
        <f t="shared" si="12"/>
        <v>0</v>
      </c>
    </row>
    <row r="33" spans="1:16" hidden="1">
      <c r="B33" s="5" t="s">
        <v>35</v>
      </c>
      <c r="D33" s="18">
        <f t="shared" si="13"/>
        <v>0</v>
      </c>
      <c r="E33" s="18">
        <f t="shared" si="13"/>
        <v>0</v>
      </c>
      <c r="F33" s="18">
        <f t="shared" si="13"/>
        <v>0</v>
      </c>
      <c r="G33" s="18">
        <f t="shared" si="13"/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6">
        <f t="shared" si="12"/>
        <v>0</v>
      </c>
    </row>
    <row r="34" spans="1:16">
      <c r="B34" s="5" t="s">
        <v>99</v>
      </c>
      <c r="C34" s="18">
        <f>164640/12</f>
        <v>13720</v>
      </c>
      <c r="D34" s="18">
        <f t="shared" si="13"/>
        <v>13720</v>
      </c>
      <c r="E34" s="18">
        <f t="shared" si="13"/>
        <v>13720</v>
      </c>
      <c r="F34" s="18">
        <f t="shared" si="13"/>
        <v>13720</v>
      </c>
      <c r="G34" s="18">
        <f t="shared" si="13"/>
        <v>13720</v>
      </c>
      <c r="H34" s="18">
        <f t="shared" si="13"/>
        <v>13720</v>
      </c>
      <c r="I34" s="18">
        <f t="shared" si="13"/>
        <v>13720</v>
      </c>
      <c r="J34" s="18">
        <f t="shared" si="13"/>
        <v>13720</v>
      </c>
      <c r="K34" s="18">
        <f t="shared" si="13"/>
        <v>13720</v>
      </c>
      <c r="L34" s="18">
        <f t="shared" si="13"/>
        <v>13720</v>
      </c>
      <c r="M34" s="18">
        <f t="shared" si="13"/>
        <v>13720</v>
      </c>
      <c r="N34" s="18">
        <f t="shared" si="13"/>
        <v>13720</v>
      </c>
      <c r="O34" s="16">
        <f t="shared" si="12"/>
        <v>164640</v>
      </c>
    </row>
    <row r="35" spans="1:16">
      <c r="B35" s="5" t="s">
        <v>36</v>
      </c>
      <c r="C35" s="18">
        <f>1388691/12</f>
        <v>115724.25</v>
      </c>
      <c r="D35" s="18">
        <f t="shared" si="13"/>
        <v>115724.25</v>
      </c>
      <c r="E35" s="18">
        <f t="shared" si="13"/>
        <v>115724.25</v>
      </c>
      <c r="F35" s="18">
        <f t="shared" si="13"/>
        <v>115724.25</v>
      </c>
      <c r="G35" s="18">
        <f t="shared" si="13"/>
        <v>115724.25</v>
      </c>
      <c r="H35" s="18">
        <f t="shared" si="13"/>
        <v>115724.25</v>
      </c>
      <c r="I35" s="18">
        <f t="shared" si="13"/>
        <v>115724.25</v>
      </c>
      <c r="J35" s="18">
        <f t="shared" si="13"/>
        <v>115724.25</v>
      </c>
      <c r="K35" s="18">
        <f t="shared" si="13"/>
        <v>115724.25</v>
      </c>
      <c r="L35" s="18">
        <f t="shared" si="13"/>
        <v>115724.25</v>
      </c>
      <c r="M35" s="18">
        <f t="shared" si="13"/>
        <v>115724.25</v>
      </c>
      <c r="N35" s="18">
        <f t="shared" si="13"/>
        <v>115724.25</v>
      </c>
      <c r="O35" s="16">
        <f t="shared" si="12"/>
        <v>1388691</v>
      </c>
    </row>
    <row r="36" spans="1:16">
      <c r="A36" t="s">
        <v>20</v>
      </c>
      <c r="B36" s="9" t="s">
        <v>44</v>
      </c>
      <c r="C36" s="19">
        <f t="shared" ref="C36:O36" si="14">SUM(C28:C35)</f>
        <v>154194.5</v>
      </c>
      <c r="D36" s="19">
        <f t="shared" si="14"/>
        <v>154194.5</v>
      </c>
      <c r="E36" s="19">
        <f t="shared" si="14"/>
        <v>154194.5</v>
      </c>
      <c r="F36" s="19">
        <f t="shared" si="14"/>
        <v>154194.5</v>
      </c>
      <c r="G36" s="19">
        <f t="shared" si="14"/>
        <v>154194.5</v>
      </c>
      <c r="H36" s="19">
        <f t="shared" si="14"/>
        <v>154194.5</v>
      </c>
      <c r="I36" s="19">
        <f t="shared" si="14"/>
        <v>154194.5</v>
      </c>
      <c r="J36" s="19">
        <f t="shared" si="14"/>
        <v>154194.5</v>
      </c>
      <c r="K36" s="19">
        <f t="shared" si="14"/>
        <v>154194.5</v>
      </c>
      <c r="L36" s="19">
        <f t="shared" si="14"/>
        <v>154194.5</v>
      </c>
      <c r="M36" s="19">
        <f t="shared" si="14"/>
        <v>154194.5</v>
      </c>
      <c r="N36" s="19">
        <f t="shared" si="14"/>
        <v>154194.5</v>
      </c>
      <c r="O36" s="19">
        <f t="shared" si="14"/>
        <v>1850334</v>
      </c>
    </row>
    <row r="37" spans="1:16">
      <c r="B37" s="9"/>
    </row>
    <row r="38" spans="1:16" ht="15.75" thickBot="1">
      <c r="A38" t="s">
        <v>75</v>
      </c>
      <c r="B38" s="9" t="s">
        <v>66</v>
      </c>
      <c r="C38" s="21">
        <f t="shared" ref="C38:O38" si="15">C36+C25+C14</f>
        <v>1256556.6666666665</v>
      </c>
      <c r="D38" s="21">
        <f t="shared" si="15"/>
        <v>1256556.6666666665</v>
      </c>
      <c r="E38" s="21">
        <f t="shared" si="15"/>
        <v>1256556.6666666665</v>
      </c>
      <c r="F38" s="21">
        <f t="shared" si="15"/>
        <v>1256556.6666666665</v>
      </c>
      <c r="G38" s="21">
        <f t="shared" si="15"/>
        <v>1256556.6666666665</v>
      </c>
      <c r="H38" s="21">
        <f t="shared" si="15"/>
        <v>1256556.6666666665</v>
      </c>
      <c r="I38" s="21">
        <f t="shared" si="15"/>
        <v>1256556.6666666665</v>
      </c>
      <c r="J38" s="21">
        <f t="shared" si="15"/>
        <v>1256556.6666666665</v>
      </c>
      <c r="K38" s="21">
        <f t="shared" si="15"/>
        <v>1256556.6666666665</v>
      </c>
      <c r="L38" s="21">
        <f t="shared" si="15"/>
        <v>1256556.6666666665</v>
      </c>
      <c r="M38" s="21">
        <f t="shared" si="15"/>
        <v>1256556.6666666665</v>
      </c>
      <c r="N38" s="21">
        <f t="shared" si="15"/>
        <v>1256556.6666666665</v>
      </c>
      <c r="O38" s="21">
        <f t="shared" si="15"/>
        <v>15078680</v>
      </c>
    </row>
    <row r="39" spans="1:16" ht="15.75" thickTop="1">
      <c r="B39" s="9"/>
    </row>
    <row r="40" spans="1:16">
      <c r="B40" s="10" t="s">
        <v>67</v>
      </c>
    </row>
    <row r="41" spans="1:16">
      <c r="B41" s="6" t="s">
        <v>31</v>
      </c>
      <c r="C41" s="18">
        <v>1211535.21</v>
      </c>
      <c r="D41" s="18">
        <v>260965.1</v>
      </c>
      <c r="E41" s="18">
        <v>441832.41000000003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ref="O41:O47" si="16">SUM(C41:N41)</f>
        <v>1914332.7200000002</v>
      </c>
      <c r="P41" s="16">
        <f t="shared" ref="P41:P47" si="17">SUM(D41:O41)</f>
        <v>2617130.2300000004</v>
      </c>
    </row>
    <row r="42" spans="1:16">
      <c r="B42" s="6" t="s">
        <v>32</v>
      </c>
      <c r="C42" s="18">
        <v>224080.69</v>
      </c>
      <c r="D42" s="18">
        <v>182305.82</v>
      </c>
      <c r="E42" s="18">
        <v>130649.24</v>
      </c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6"/>
        <v>537035.75</v>
      </c>
      <c r="P42" s="16">
        <f t="shared" si="17"/>
        <v>849990.81</v>
      </c>
    </row>
    <row r="43" spans="1:16">
      <c r="B43" s="6" t="s">
        <v>97</v>
      </c>
      <c r="C43" s="18">
        <v>0</v>
      </c>
      <c r="D43" s="18">
        <v>0</v>
      </c>
      <c r="E43" s="18">
        <v>157965.53</v>
      </c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6"/>
        <v>157965.53</v>
      </c>
      <c r="P43" s="16">
        <f t="shared" si="17"/>
        <v>315931.06</v>
      </c>
    </row>
    <row r="44" spans="1:16" hidden="1">
      <c r="B44" s="6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6"/>
        <v>0</v>
      </c>
      <c r="P44" s="16">
        <f t="shared" si="17"/>
        <v>0</v>
      </c>
    </row>
    <row r="45" spans="1:16" hidden="1">
      <c r="B45" s="6" t="s">
        <v>34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6"/>
        <v>0</v>
      </c>
      <c r="P45" s="16">
        <f t="shared" si="17"/>
        <v>0</v>
      </c>
    </row>
    <row r="46" spans="1:16" hidden="1">
      <c r="B46" s="6" t="s">
        <v>35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6">
        <f t="shared" si="16"/>
        <v>0</v>
      </c>
      <c r="P46" s="16">
        <f t="shared" si="17"/>
        <v>0</v>
      </c>
    </row>
    <row r="47" spans="1:16" hidden="1">
      <c r="B47" s="6" t="s">
        <v>36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6">
        <f t="shared" si="16"/>
        <v>0</v>
      </c>
      <c r="P47" s="16">
        <f t="shared" si="17"/>
        <v>0</v>
      </c>
    </row>
    <row r="48" spans="1:16">
      <c r="A48" t="s">
        <v>24</v>
      </c>
      <c r="B48" s="10" t="s">
        <v>38</v>
      </c>
      <c r="C48" s="19">
        <f>SUM(C41:C47)</f>
        <v>1435615.9</v>
      </c>
      <c r="D48" s="19">
        <f t="shared" ref="D48:E48" si="18">SUM(D41:D47)</f>
        <v>443270.92000000004</v>
      </c>
      <c r="E48" s="19">
        <f t="shared" si="18"/>
        <v>730447.18</v>
      </c>
      <c r="F48" s="19">
        <f t="shared" ref="F48:N48" si="19">SUM(F41:F47)</f>
        <v>0</v>
      </c>
      <c r="G48" s="19">
        <f t="shared" si="19"/>
        <v>0</v>
      </c>
      <c r="H48" s="19">
        <f t="shared" si="19"/>
        <v>0</v>
      </c>
      <c r="I48" s="19">
        <f t="shared" si="19"/>
        <v>0</v>
      </c>
      <c r="J48" s="19">
        <f t="shared" si="19"/>
        <v>0</v>
      </c>
      <c r="K48" s="19">
        <f t="shared" si="19"/>
        <v>0</v>
      </c>
      <c r="L48" s="19">
        <f t="shared" si="19"/>
        <v>0</v>
      </c>
      <c r="M48" s="19">
        <f t="shared" si="19"/>
        <v>0</v>
      </c>
      <c r="N48" s="19">
        <f t="shared" si="19"/>
        <v>0</v>
      </c>
      <c r="O48" s="19">
        <f t="shared" ref="O48" si="20">SUM(O41:O47)</f>
        <v>2609334</v>
      </c>
      <c r="P48" s="19">
        <f>SUM(P41:P47)</f>
        <v>3783052.1000000006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>
      <c r="B50" s="10" t="s">
        <v>68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6"/>
      <c r="P50" s="18"/>
    </row>
    <row r="51" spans="1:16">
      <c r="B51" s="6" t="s">
        <v>31</v>
      </c>
      <c r="C51" s="18">
        <v>100263.28</v>
      </c>
      <c r="D51" s="18">
        <v>11994.15</v>
      </c>
      <c r="E51" s="18">
        <v>24336.78</v>
      </c>
      <c r="F51" s="18"/>
      <c r="G51" s="18"/>
      <c r="H51" s="18"/>
      <c r="I51" s="18"/>
      <c r="J51" s="18"/>
      <c r="K51" s="18"/>
      <c r="L51" s="18"/>
      <c r="M51" s="18"/>
      <c r="N51" s="18"/>
      <c r="O51" s="16">
        <f t="shared" ref="O51:O58" si="21">SUM(C51:N51)</f>
        <v>136594.21</v>
      </c>
      <c r="P51" s="16">
        <f t="shared" ref="P51:P58" si="22">SUM(D51:O51)</f>
        <v>172925.13999999998</v>
      </c>
    </row>
    <row r="52" spans="1:16">
      <c r="B52" s="6" t="s">
        <v>32</v>
      </c>
      <c r="C52" s="18">
        <v>8194.18</v>
      </c>
      <c r="D52" s="18">
        <v>8336.5500000000011</v>
      </c>
      <c r="E52" s="18">
        <v>95010.95</v>
      </c>
      <c r="F52" s="18"/>
      <c r="G52" s="18"/>
      <c r="H52" s="18"/>
      <c r="I52" s="18"/>
      <c r="J52" s="18"/>
      <c r="K52" s="18"/>
      <c r="L52" s="18"/>
      <c r="M52" s="18"/>
      <c r="N52" s="18"/>
      <c r="O52" s="16">
        <f t="shared" si="21"/>
        <v>111541.68</v>
      </c>
      <c r="P52" s="16">
        <f t="shared" si="22"/>
        <v>214889.18</v>
      </c>
    </row>
    <row r="53" spans="1:16">
      <c r="B53" s="6" t="s">
        <v>97</v>
      </c>
      <c r="C53" s="18">
        <v>1498.82</v>
      </c>
      <c r="D53" s="18">
        <v>54.82999999999997</v>
      </c>
      <c r="E53" s="18">
        <v>5309.24</v>
      </c>
      <c r="F53" s="18"/>
      <c r="G53" s="18"/>
      <c r="H53" s="18"/>
      <c r="I53" s="18"/>
      <c r="J53" s="18"/>
      <c r="K53" s="18"/>
      <c r="L53" s="18"/>
      <c r="M53" s="18"/>
      <c r="N53" s="18"/>
      <c r="O53" s="16">
        <f t="shared" si="21"/>
        <v>6862.8899999999994</v>
      </c>
      <c r="P53" s="16">
        <f t="shared" si="22"/>
        <v>12226.96</v>
      </c>
    </row>
    <row r="54" spans="1:16">
      <c r="B54" s="6" t="s">
        <v>33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6">
        <f t="shared" si="21"/>
        <v>0</v>
      </c>
      <c r="P54" s="16">
        <f t="shared" si="22"/>
        <v>0</v>
      </c>
    </row>
    <row r="55" spans="1:16">
      <c r="B55" s="6" t="s">
        <v>34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6">
        <f t="shared" si="21"/>
        <v>0</v>
      </c>
      <c r="P55" s="16">
        <f t="shared" si="22"/>
        <v>0</v>
      </c>
    </row>
    <row r="56" spans="1:16">
      <c r="B56" s="6" t="s">
        <v>35</v>
      </c>
      <c r="C56" s="18">
        <v>2008.56</v>
      </c>
      <c r="D56" s="18">
        <v>2491.9900000000002</v>
      </c>
      <c r="E56" s="18">
        <v>2412.96</v>
      </c>
      <c r="F56" s="18"/>
      <c r="G56" s="18"/>
      <c r="H56" s="18"/>
      <c r="I56" s="18"/>
      <c r="J56" s="18"/>
      <c r="K56" s="18"/>
      <c r="L56" s="18"/>
      <c r="M56" s="18"/>
      <c r="N56" s="18"/>
      <c r="O56" s="16">
        <f t="shared" si="21"/>
        <v>6913.51</v>
      </c>
      <c r="P56" s="16">
        <f t="shared" si="22"/>
        <v>11818.460000000001</v>
      </c>
    </row>
    <row r="57" spans="1:16">
      <c r="B57" s="6" t="s">
        <v>99</v>
      </c>
      <c r="C57" s="18">
        <v>33410.520000000004</v>
      </c>
      <c r="D57" s="18">
        <v>40594.160000000003</v>
      </c>
      <c r="E57" s="18">
        <v>49516.72</v>
      </c>
      <c r="F57" s="18"/>
      <c r="G57" s="18"/>
      <c r="H57" s="18"/>
      <c r="I57" s="18"/>
      <c r="J57" s="18"/>
      <c r="K57" s="18"/>
      <c r="L57" s="18"/>
      <c r="M57" s="18"/>
      <c r="N57" s="18"/>
      <c r="O57" s="16">
        <f t="shared" ref="O57" si="23">SUM(C57:N57)</f>
        <v>123521.40000000001</v>
      </c>
      <c r="P57" s="16"/>
    </row>
    <row r="58" spans="1:16">
      <c r="B58" s="6" t="s">
        <v>36</v>
      </c>
      <c r="C58" s="18">
        <v>85332.25</v>
      </c>
      <c r="D58" s="18">
        <v>107213.77</v>
      </c>
      <c r="E58" s="18">
        <v>114691.33</v>
      </c>
      <c r="F58" s="18"/>
      <c r="G58" s="18"/>
      <c r="H58" s="18"/>
      <c r="I58" s="18"/>
      <c r="J58" s="18"/>
      <c r="K58" s="18"/>
      <c r="L58" s="18"/>
      <c r="M58" s="18"/>
      <c r="N58" s="18"/>
      <c r="O58" s="16">
        <f t="shared" si="21"/>
        <v>307237.35000000003</v>
      </c>
      <c r="P58" s="16">
        <f t="shared" si="22"/>
        <v>529142.45000000007</v>
      </c>
    </row>
    <row r="59" spans="1:16">
      <c r="A59" t="s">
        <v>76</v>
      </c>
      <c r="B59" s="10" t="s">
        <v>69</v>
      </c>
      <c r="C59" s="19">
        <f t="shared" ref="C59:E59" si="24">SUM(C51:C58)</f>
        <v>230707.61</v>
      </c>
      <c r="D59" s="19">
        <f t="shared" si="24"/>
        <v>170685.45</v>
      </c>
      <c r="E59" s="19">
        <f t="shared" si="24"/>
        <v>291277.98000000004</v>
      </c>
      <c r="F59" s="19">
        <f t="shared" ref="F59:O59" si="25">SUM(F51:F58)</f>
        <v>0</v>
      </c>
      <c r="G59" s="19">
        <f t="shared" si="25"/>
        <v>0</v>
      </c>
      <c r="H59" s="19">
        <f t="shared" si="25"/>
        <v>0</v>
      </c>
      <c r="I59" s="19">
        <f t="shared" si="25"/>
        <v>0</v>
      </c>
      <c r="J59" s="19">
        <f t="shared" si="25"/>
        <v>0</v>
      </c>
      <c r="K59" s="19">
        <f t="shared" si="25"/>
        <v>0</v>
      </c>
      <c r="L59" s="19">
        <f t="shared" si="25"/>
        <v>0</v>
      </c>
      <c r="M59" s="19">
        <f t="shared" si="25"/>
        <v>0</v>
      </c>
      <c r="N59" s="19">
        <f t="shared" si="25"/>
        <v>0</v>
      </c>
      <c r="O59" s="19">
        <f t="shared" si="25"/>
        <v>692671.04</v>
      </c>
      <c r="P59" s="19">
        <f>SUM(P51:P58)</f>
        <v>941002.19000000006</v>
      </c>
    </row>
    <row r="60" spans="1:16">
      <c r="B60" s="10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>
      <c r="B61" s="10" t="s">
        <v>70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B62" s="6" t="s">
        <v>31</v>
      </c>
      <c r="C62" s="18">
        <v>7266.1</v>
      </c>
      <c r="D62" s="18">
        <v>6554.37</v>
      </c>
      <c r="E62" s="18">
        <v>7575.68</v>
      </c>
      <c r="F62" s="18"/>
      <c r="G62" s="18"/>
      <c r="H62" s="18"/>
      <c r="I62" s="18"/>
      <c r="J62" s="18"/>
      <c r="K62" s="18"/>
      <c r="L62" s="18"/>
      <c r="M62" s="18"/>
      <c r="N62" s="18"/>
      <c r="O62" s="16">
        <f t="shared" ref="O62:O69" si="26">SUM(C62:N62)</f>
        <v>21396.15</v>
      </c>
      <c r="P62" s="16">
        <f t="shared" ref="P62:P69" si="27">SUM(D62:O62)</f>
        <v>35526.199999999997</v>
      </c>
    </row>
    <row r="63" spans="1:16">
      <c r="B63" s="6" t="s">
        <v>32</v>
      </c>
      <c r="C63" s="18">
        <v>1274.4700000000003</v>
      </c>
      <c r="D63" s="18">
        <v>986.43999999999994</v>
      </c>
      <c r="E63" s="18">
        <v>1571.25</v>
      </c>
      <c r="F63" s="18"/>
      <c r="G63" s="18"/>
      <c r="H63" s="18"/>
      <c r="I63" s="18"/>
      <c r="J63" s="18"/>
      <c r="K63" s="18"/>
      <c r="L63" s="18"/>
      <c r="M63" s="18"/>
      <c r="N63" s="18"/>
      <c r="O63" s="16">
        <f t="shared" si="26"/>
        <v>3832.1600000000003</v>
      </c>
      <c r="P63" s="16">
        <f t="shared" si="27"/>
        <v>6389.85</v>
      </c>
    </row>
    <row r="64" spans="1:16">
      <c r="B64" s="6" t="s">
        <v>97</v>
      </c>
      <c r="C64" s="18">
        <v>1372.6499999999999</v>
      </c>
      <c r="D64" s="18">
        <v>653.61</v>
      </c>
      <c r="E64" s="18">
        <v>-718.98</v>
      </c>
      <c r="F64" s="18"/>
      <c r="G64" s="18"/>
      <c r="H64" s="18"/>
      <c r="I64" s="18"/>
      <c r="J64" s="18"/>
      <c r="K64" s="18"/>
      <c r="L64" s="18"/>
      <c r="M64" s="18"/>
      <c r="N64" s="18"/>
      <c r="O64" s="16">
        <f t="shared" si="26"/>
        <v>1307.2799999999997</v>
      </c>
      <c r="P64" s="16">
        <f t="shared" si="27"/>
        <v>1241.9099999999999</v>
      </c>
    </row>
    <row r="65" spans="1:16" hidden="1">
      <c r="B65" s="6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6">
        <f t="shared" si="26"/>
        <v>0</v>
      </c>
      <c r="P65" s="16">
        <f t="shared" si="27"/>
        <v>0</v>
      </c>
    </row>
    <row r="66" spans="1:16" hidden="1">
      <c r="B66" s="6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6">
        <f t="shared" si="26"/>
        <v>0</v>
      </c>
      <c r="P66" s="16">
        <f t="shared" si="27"/>
        <v>0</v>
      </c>
    </row>
    <row r="67" spans="1:16" hidden="1">
      <c r="B67" s="6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6">
        <f t="shared" ref="O67" si="28">SUM(C67:N67)</f>
        <v>0</v>
      </c>
      <c r="P67" s="16"/>
    </row>
    <row r="68" spans="1:16">
      <c r="B68" s="6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6">
        <f t="shared" si="26"/>
        <v>0</v>
      </c>
      <c r="P68" s="16"/>
    </row>
    <row r="69" spans="1:16">
      <c r="B69" s="6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6">
        <f t="shared" si="26"/>
        <v>0</v>
      </c>
      <c r="P69" s="16">
        <f t="shared" si="27"/>
        <v>0</v>
      </c>
    </row>
    <row r="70" spans="1:16">
      <c r="A70" t="s">
        <v>77</v>
      </c>
      <c r="B70" s="10" t="s">
        <v>39</v>
      </c>
      <c r="C70" s="19">
        <f t="shared" ref="C70" si="29">SUM(C62:C69)</f>
        <v>9913.2199999999993</v>
      </c>
      <c r="D70" s="19">
        <f t="shared" ref="D70:P70" si="30">SUM(D62:D69)</f>
        <v>8194.42</v>
      </c>
      <c r="E70" s="19">
        <f t="shared" si="30"/>
        <v>8427.9500000000007</v>
      </c>
      <c r="F70" s="19">
        <f t="shared" si="30"/>
        <v>0</v>
      </c>
      <c r="G70" s="19">
        <f t="shared" si="30"/>
        <v>0</v>
      </c>
      <c r="H70" s="19">
        <f t="shared" si="30"/>
        <v>0</v>
      </c>
      <c r="I70" s="19">
        <f t="shared" si="30"/>
        <v>0</v>
      </c>
      <c r="J70" s="19">
        <f t="shared" si="30"/>
        <v>0</v>
      </c>
      <c r="K70" s="19">
        <f t="shared" si="30"/>
        <v>0</v>
      </c>
      <c r="L70" s="19">
        <f t="shared" si="30"/>
        <v>0</v>
      </c>
      <c r="M70" s="19">
        <f t="shared" si="30"/>
        <v>0</v>
      </c>
      <c r="N70" s="19">
        <f t="shared" si="30"/>
        <v>0</v>
      </c>
      <c r="O70" s="19">
        <f t="shared" si="30"/>
        <v>26535.59</v>
      </c>
      <c r="P70" s="19">
        <f t="shared" si="30"/>
        <v>43157.959999999992</v>
      </c>
    </row>
    <row r="71" spans="1:16"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5.75" thickBot="1">
      <c r="A72" t="s">
        <v>78</v>
      </c>
      <c r="B72" s="10" t="s">
        <v>71</v>
      </c>
      <c r="C72" s="21">
        <f t="shared" ref="C72:P72" si="31">C70+C59+C48</f>
        <v>1676236.73</v>
      </c>
      <c r="D72" s="21">
        <f t="shared" si="31"/>
        <v>622150.79</v>
      </c>
      <c r="E72" s="21">
        <f t="shared" si="31"/>
        <v>1030153.1100000001</v>
      </c>
      <c r="F72" s="21">
        <f t="shared" si="31"/>
        <v>0</v>
      </c>
      <c r="G72" s="21">
        <f t="shared" si="31"/>
        <v>0</v>
      </c>
      <c r="H72" s="21">
        <f t="shared" si="31"/>
        <v>0</v>
      </c>
      <c r="I72" s="21">
        <f t="shared" si="31"/>
        <v>0</v>
      </c>
      <c r="J72" s="21">
        <f t="shared" si="31"/>
        <v>0</v>
      </c>
      <c r="K72" s="21">
        <f t="shared" si="31"/>
        <v>0</v>
      </c>
      <c r="L72" s="21">
        <f t="shared" si="31"/>
        <v>0</v>
      </c>
      <c r="M72" s="21">
        <f t="shared" si="31"/>
        <v>0</v>
      </c>
      <c r="N72" s="21">
        <f t="shared" si="31"/>
        <v>0</v>
      </c>
      <c r="O72" s="21">
        <f t="shared" si="31"/>
        <v>3328540.63</v>
      </c>
      <c r="P72" s="21">
        <f t="shared" si="31"/>
        <v>4767212.2500000009</v>
      </c>
    </row>
    <row r="73" spans="1:16" ht="15.75" thickTop="1">
      <c r="B73" s="9"/>
    </row>
    <row r="74" spans="1:16">
      <c r="B74" s="41" t="s">
        <v>40</v>
      </c>
    </row>
    <row r="75" spans="1:16">
      <c r="B75" s="41" t="s">
        <v>72</v>
      </c>
    </row>
    <row r="76" spans="1:16">
      <c r="B76" s="40" t="s">
        <v>31</v>
      </c>
      <c r="C76" s="36">
        <f t="shared" ref="C76:N76" si="32">C7-C41</f>
        <v>-731061.96</v>
      </c>
      <c r="D76" s="36">
        <f t="shared" si="32"/>
        <v>219508.15</v>
      </c>
      <c r="E76" s="36">
        <f t="shared" si="32"/>
        <v>38640.839999999967</v>
      </c>
      <c r="F76" s="36">
        <f t="shared" si="32"/>
        <v>480473.25</v>
      </c>
      <c r="G76" s="36">
        <f t="shared" si="32"/>
        <v>480473.25</v>
      </c>
      <c r="H76" s="36">
        <f t="shared" si="32"/>
        <v>480473.25</v>
      </c>
      <c r="I76" s="36">
        <f t="shared" si="32"/>
        <v>480473.25</v>
      </c>
      <c r="J76" s="36">
        <f t="shared" si="32"/>
        <v>480473.25</v>
      </c>
      <c r="K76" s="36">
        <f t="shared" si="32"/>
        <v>480473.25</v>
      </c>
      <c r="L76" s="36">
        <f t="shared" si="32"/>
        <v>480473.25</v>
      </c>
      <c r="M76" s="36">
        <f t="shared" si="32"/>
        <v>480473.25</v>
      </c>
      <c r="N76" s="36">
        <f t="shared" si="32"/>
        <v>480473.25</v>
      </c>
      <c r="O76" s="16">
        <f t="shared" ref="O76:O82" si="33">SUM(C76:N76)</f>
        <v>3851346.2800000003</v>
      </c>
    </row>
    <row r="77" spans="1:16">
      <c r="B77" s="40" t="s">
        <v>32</v>
      </c>
      <c r="C77" s="36">
        <f t="shared" ref="C77:N77" si="34">C8-C42</f>
        <v>-80870.606666666659</v>
      </c>
      <c r="D77" s="36">
        <f t="shared" si="34"/>
        <v>-39095.736666666664</v>
      </c>
      <c r="E77" s="36">
        <f t="shared" si="34"/>
        <v>12560.843333333338</v>
      </c>
      <c r="F77" s="36">
        <f t="shared" si="34"/>
        <v>143210.08333333334</v>
      </c>
      <c r="G77" s="36">
        <f t="shared" si="34"/>
        <v>143210.08333333334</v>
      </c>
      <c r="H77" s="36">
        <f t="shared" si="34"/>
        <v>143210.08333333334</v>
      </c>
      <c r="I77" s="36">
        <f t="shared" si="34"/>
        <v>143210.08333333334</v>
      </c>
      <c r="J77" s="36">
        <f t="shared" si="34"/>
        <v>143210.08333333334</v>
      </c>
      <c r="K77" s="36">
        <f t="shared" si="34"/>
        <v>143210.08333333334</v>
      </c>
      <c r="L77" s="36">
        <f t="shared" si="34"/>
        <v>143210.08333333334</v>
      </c>
      <c r="M77" s="36">
        <f t="shared" si="34"/>
        <v>143210.08333333334</v>
      </c>
      <c r="N77" s="36">
        <f t="shared" si="34"/>
        <v>143210.08333333334</v>
      </c>
      <c r="O77" s="16">
        <f t="shared" si="33"/>
        <v>1181485.2500000002</v>
      </c>
    </row>
    <row r="78" spans="1:16">
      <c r="B78" s="40" t="s">
        <v>97</v>
      </c>
      <c r="C78" s="36">
        <f t="shared" ref="C78:N78" si="35">C9-C43</f>
        <v>84597.416666666672</v>
      </c>
      <c r="D78" s="36">
        <f t="shared" si="35"/>
        <v>84597.416666666672</v>
      </c>
      <c r="E78" s="36">
        <f t="shared" si="35"/>
        <v>-73368.113333333327</v>
      </c>
      <c r="F78" s="36">
        <f t="shared" si="35"/>
        <v>84597.416666666672</v>
      </c>
      <c r="G78" s="36">
        <f t="shared" si="35"/>
        <v>84597.416666666672</v>
      </c>
      <c r="H78" s="36">
        <f t="shared" si="35"/>
        <v>84597.416666666672</v>
      </c>
      <c r="I78" s="36">
        <f t="shared" si="35"/>
        <v>84597.416666666672</v>
      </c>
      <c r="J78" s="36">
        <f t="shared" si="35"/>
        <v>84597.416666666672</v>
      </c>
      <c r="K78" s="36">
        <f t="shared" si="35"/>
        <v>84597.416666666672</v>
      </c>
      <c r="L78" s="36">
        <f t="shared" si="35"/>
        <v>84597.416666666672</v>
      </c>
      <c r="M78" s="36">
        <f t="shared" si="35"/>
        <v>84597.416666666672</v>
      </c>
      <c r="N78" s="36">
        <f t="shared" si="35"/>
        <v>84597.416666666672</v>
      </c>
      <c r="O78" s="16">
        <f t="shared" si="33"/>
        <v>857203.47</v>
      </c>
    </row>
    <row r="79" spans="1:16" hidden="1">
      <c r="B79" s="40" t="s">
        <v>33</v>
      </c>
      <c r="C79" s="36">
        <f t="shared" ref="C79:N79" si="36">C10-C44</f>
        <v>0</v>
      </c>
      <c r="D79" s="36">
        <f t="shared" si="36"/>
        <v>0</v>
      </c>
      <c r="E79" s="36">
        <f t="shared" si="36"/>
        <v>0</v>
      </c>
      <c r="F79" s="36">
        <f t="shared" si="36"/>
        <v>0</v>
      </c>
      <c r="G79" s="36">
        <f t="shared" si="36"/>
        <v>0</v>
      </c>
      <c r="H79" s="36">
        <f t="shared" si="36"/>
        <v>0</v>
      </c>
      <c r="I79" s="36">
        <f t="shared" si="36"/>
        <v>0</v>
      </c>
      <c r="J79" s="36">
        <f t="shared" si="36"/>
        <v>0</v>
      </c>
      <c r="K79" s="36">
        <f t="shared" si="36"/>
        <v>0</v>
      </c>
      <c r="L79" s="36">
        <f t="shared" si="36"/>
        <v>0</v>
      </c>
      <c r="M79" s="36">
        <f t="shared" si="36"/>
        <v>0</v>
      </c>
      <c r="N79" s="36">
        <f t="shared" si="36"/>
        <v>0</v>
      </c>
      <c r="O79" s="16">
        <f t="shared" si="33"/>
        <v>0</v>
      </c>
    </row>
    <row r="80" spans="1:16" hidden="1">
      <c r="B80" s="40" t="s">
        <v>34</v>
      </c>
      <c r="C80" s="36">
        <f t="shared" ref="C80:N80" si="37">C11-C45</f>
        <v>0</v>
      </c>
      <c r="D80" s="36">
        <f t="shared" si="37"/>
        <v>0</v>
      </c>
      <c r="E80" s="36">
        <f t="shared" si="37"/>
        <v>0</v>
      </c>
      <c r="F80" s="36">
        <f t="shared" si="37"/>
        <v>0</v>
      </c>
      <c r="G80" s="36">
        <f t="shared" si="37"/>
        <v>0</v>
      </c>
      <c r="H80" s="36">
        <f t="shared" si="37"/>
        <v>0</v>
      </c>
      <c r="I80" s="36">
        <f t="shared" si="37"/>
        <v>0</v>
      </c>
      <c r="J80" s="36">
        <f t="shared" si="37"/>
        <v>0</v>
      </c>
      <c r="K80" s="36">
        <f t="shared" si="37"/>
        <v>0</v>
      </c>
      <c r="L80" s="36">
        <f t="shared" si="37"/>
        <v>0</v>
      </c>
      <c r="M80" s="36">
        <f t="shared" si="37"/>
        <v>0</v>
      </c>
      <c r="N80" s="36">
        <f t="shared" si="37"/>
        <v>0</v>
      </c>
      <c r="O80" s="16">
        <f t="shared" si="33"/>
        <v>0</v>
      </c>
    </row>
    <row r="81" spans="1:15" hidden="1">
      <c r="B81" s="40" t="s">
        <v>35</v>
      </c>
      <c r="C81" s="36">
        <f t="shared" ref="C81:N81" si="38">C12-C46</f>
        <v>0</v>
      </c>
      <c r="D81" s="36">
        <f t="shared" si="38"/>
        <v>0</v>
      </c>
      <c r="E81" s="36">
        <f t="shared" si="38"/>
        <v>0</v>
      </c>
      <c r="F81" s="36">
        <f t="shared" si="38"/>
        <v>0</v>
      </c>
      <c r="G81" s="36">
        <f t="shared" si="38"/>
        <v>0</v>
      </c>
      <c r="H81" s="36">
        <f t="shared" si="38"/>
        <v>0</v>
      </c>
      <c r="I81" s="36">
        <f t="shared" si="38"/>
        <v>0</v>
      </c>
      <c r="J81" s="36">
        <f t="shared" si="38"/>
        <v>0</v>
      </c>
      <c r="K81" s="36">
        <f t="shared" si="38"/>
        <v>0</v>
      </c>
      <c r="L81" s="36">
        <f t="shared" si="38"/>
        <v>0</v>
      </c>
      <c r="M81" s="36">
        <f t="shared" si="38"/>
        <v>0</v>
      </c>
      <c r="N81" s="36">
        <f t="shared" si="38"/>
        <v>0</v>
      </c>
      <c r="O81" s="16">
        <f t="shared" si="33"/>
        <v>0</v>
      </c>
    </row>
    <row r="82" spans="1:15" hidden="1">
      <c r="B82" s="40" t="s">
        <v>36</v>
      </c>
      <c r="C82" s="36">
        <f t="shared" ref="C82:N82" si="39">C13-C47</f>
        <v>0</v>
      </c>
      <c r="D82" s="36">
        <f t="shared" si="39"/>
        <v>0</v>
      </c>
      <c r="E82" s="36">
        <f t="shared" si="39"/>
        <v>0</v>
      </c>
      <c r="F82" s="36">
        <f t="shared" si="39"/>
        <v>0</v>
      </c>
      <c r="G82" s="36">
        <f t="shared" si="39"/>
        <v>0</v>
      </c>
      <c r="H82" s="36">
        <f t="shared" si="39"/>
        <v>0</v>
      </c>
      <c r="I82" s="36">
        <f t="shared" si="39"/>
        <v>0</v>
      </c>
      <c r="J82" s="36">
        <f t="shared" si="39"/>
        <v>0</v>
      </c>
      <c r="K82" s="36">
        <f t="shared" si="39"/>
        <v>0</v>
      </c>
      <c r="L82" s="36">
        <f t="shared" si="39"/>
        <v>0</v>
      </c>
      <c r="M82" s="36">
        <f t="shared" si="39"/>
        <v>0</v>
      </c>
      <c r="N82" s="36">
        <f t="shared" si="39"/>
        <v>0</v>
      </c>
      <c r="O82" s="16">
        <f t="shared" si="33"/>
        <v>0</v>
      </c>
    </row>
    <row r="83" spans="1:15">
      <c r="A83" t="s">
        <v>79</v>
      </c>
      <c r="B83" s="41" t="s">
        <v>41</v>
      </c>
      <c r="C83" s="19">
        <f t="shared" ref="C83:N83" si="40">C14-C48</f>
        <v>-727335.14999999991</v>
      </c>
      <c r="D83" s="19">
        <f t="shared" si="40"/>
        <v>265009.82999999996</v>
      </c>
      <c r="E83" s="19">
        <f t="shared" si="40"/>
        <v>-22166.430000000051</v>
      </c>
      <c r="F83" s="19">
        <f t="shared" si="40"/>
        <v>708280.75</v>
      </c>
      <c r="G83" s="19">
        <f t="shared" si="40"/>
        <v>708280.75</v>
      </c>
      <c r="H83" s="19">
        <f t="shared" si="40"/>
        <v>708280.75</v>
      </c>
      <c r="I83" s="19">
        <f t="shared" si="40"/>
        <v>708280.75</v>
      </c>
      <c r="J83" s="19">
        <f t="shared" si="40"/>
        <v>708280.75</v>
      </c>
      <c r="K83" s="19">
        <f t="shared" si="40"/>
        <v>708280.75</v>
      </c>
      <c r="L83" s="19">
        <f t="shared" si="40"/>
        <v>708280.75</v>
      </c>
      <c r="M83" s="19">
        <f t="shared" si="40"/>
        <v>708280.75</v>
      </c>
      <c r="N83" s="19">
        <f t="shared" si="40"/>
        <v>708280.75</v>
      </c>
      <c r="O83" s="19">
        <f t="shared" ref="O83" si="41">SUM(O76:O82)</f>
        <v>5890035</v>
      </c>
    </row>
    <row r="84" spans="1:15">
      <c r="B84" s="41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18"/>
    </row>
    <row r="85" spans="1:15">
      <c r="B85" s="41" t="s">
        <v>73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16"/>
    </row>
    <row r="86" spans="1:15">
      <c r="B86" s="40" t="s">
        <v>31</v>
      </c>
      <c r="C86" s="36">
        <f t="shared" ref="C86:N86" si="42">C17-C51</f>
        <v>-63856.363333333335</v>
      </c>
      <c r="D86" s="36">
        <f t="shared" si="42"/>
        <v>24412.766666666663</v>
      </c>
      <c r="E86" s="36">
        <f t="shared" si="42"/>
        <v>12070.136666666665</v>
      </c>
      <c r="F86" s="36">
        <f t="shared" si="42"/>
        <v>36406.916666666664</v>
      </c>
      <c r="G86" s="36">
        <f t="shared" si="42"/>
        <v>36406.916666666664</v>
      </c>
      <c r="H86" s="36">
        <f t="shared" si="42"/>
        <v>36406.916666666664</v>
      </c>
      <c r="I86" s="36">
        <f t="shared" si="42"/>
        <v>36406.916666666664</v>
      </c>
      <c r="J86" s="36">
        <f t="shared" si="42"/>
        <v>36406.916666666664</v>
      </c>
      <c r="K86" s="36">
        <f t="shared" si="42"/>
        <v>36406.916666666664</v>
      </c>
      <c r="L86" s="36">
        <f t="shared" si="42"/>
        <v>36406.916666666664</v>
      </c>
      <c r="M86" s="36">
        <f t="shared" si="42"/>
        <v>36406.916666666664</v>
      </c>
      <c r="N86" s="36">
        <f t="shared" si="42"/>
        <v>36406.916666666664</v>
      </c>
      <c r="O86" s="16">
        <f t="shared" ref="O86:O93" si="43">SUM(C86:N86)</f>
        <v>300288.78999999998</v>
      </c>
    </row>
    <row r="87" spans="1:15">
      <c r="B87" s="40" t="s">
        <v>32</v>
      </c>
      <c r="C87" s="36">
        <f t="shared" ref="C87:N87" si="44">C18-C52</f>
        <v>10929.403333333332</v>
      </c>
      <c r="D87" s="36">
        <f t="shared" si="44"/>
        <v>10787.033333333331</v>
      </c>
      <c r="E87" s="36">
        <f t="shared" si="44"/>
        <v>-75887.366666666669</v>
      </c>
      <c r="F87" s="36">
        <f t="shared" si="44"/>
        <v>19123.583333333332</v>
      </c>
      <c r="G87" s="36">
        <f t="shared" si="44"/>
        <v>19123.583333333332</v>
      </c>
      <c r="H87" s="36">
        <f t="shared" si="44"/>
        <v>19123.583333333332</v>
      </c>
      <c r="I87" s="36">
        <f t="shared" si="44"/>
        <v>19123.583333333332</v>
      </c>
      <c r="J87" s="36">
        <f t="shared" si="44"/>
        <v>19123.583333333332</v>
      </c>
      <c r="K87" s="36">
        <f t="shared" si="44"/>
        <v>19123.583333333332</v>
      </c>
      <c r="L87" s="36">
        <f t="shared" si="44"/>
        <v>19123.583333333332</v>
      </c>
      <c r="M87" s="36">
        <f t="shared" si="44"/>
        <v>19123.583333333332</v>
      </c>
      <c r="N87" s="36">
        <f t="shared" si="44"/>
        <v>19123.583333333332</v>
      </c>
      <c r="O87" s="16">
        <f t="shared" si="43"/>
        <v>117941.31999999996</v>
      </c>
    </row>
    <row r="88" spans="1:15" hidden="1">
      <c r="B88" s="40" t="s">
        <v>33</v>
      </c>
      <c r="C88" s="36">
        <f t="shared" ref="C88:N88" si="45">C20-C54</f>
        <v>0</v>
      </c>
      <c r="D88" s="36">
        <f t="shared" si="45"/>
        <v>0</v>
      </c>
      <c r="E88" s="36">
        <f t="shared" si="45"/>
        <v>0</v>
      </c>
      <c r="F88" s="36">
        <f t="shared" si="45"/>
        <v>0</v>
      </c>
      <c r="G88" s="36">
        <f t="shared" si="45"/>
        <v>0</v>
      </c>
      <c r="H88" s="36">
        <f t="shared" si="45"/>
        <v>0</v>
      </c>
      <c r="I88" s="36">
        <f t="shared" si="45"/>
        <v>0</v>
      </c>
      <c r="J88" s="36">
        <f t="shared" si="45"/>
        <v>0</v>
      </c>
      <c r="K88" s="36">
        <f t="shared" si="45"/>
        <v>0</v>
      </c>
      <c r="L88" s="36">
        <f t="shared" si="45"/>
        <v>0</v>
      </c>
      <c r="M88" s="36">
        <f t="shared" si="45"/>
        <v>0</v>
      </c>
      <c r="N88" s="36">
        <f t="shared" si="45"/>
        <v>0</v>
      </c>
      <c r="O88" s="16">
        <f t="shared" si="43"/>
        <v>0</v>
      </c>
    </row>
    <row r="89" spans="1:15" hidden="1">
      <c r="B89" s="40" t="s">
        <v>34</v>
      </c>
      <c r="C89" s="36">
        <f t="shared" ref="C89:N89" si="46">C21-C55</f>
        <v>0</v>
      </c>
      <c r="D89" s="36">
        <f t="shared" si="46"/>
        <v>0</v>
      </c>
      <c r="E89" s="36">
        <f t="shared" si="46"/>
        <v>0</v>
      </c>
      <c r="F89" s="36">
        <f t="shared" si="46"/>
        <v>0</v>
      </c>
      <c r="G89" s="36">
        <f t="shared" si="46"/>
        <v>0</v>
      </c>
      <c r="H89" s="36">
        <f t="shared" si="46"/>
        <v>0</v>
      </c>
      <c r="I89" s="36">
        <f t="shared" si="46"/>
        <v>0</v>
      </c>
      <c r="J89" s="36">
        <f t="shared" si="46"/>
        <v>0</v>
      </c>
      <c r="K89" s="36">
        <f t="shared" si="46"/>
        <v>0</v>
      </c>
      <c r="L89" s="36">
        <f t="shared" si="46"/>
        <v>0</v>
      </c>
      <c r="M89" s="36">
        <f t="shared" si="46"/>
        <v>0</v>
      </c>
      <c r="N89" s="36">
        <f t="shared" si="46"/>
        <v>0</v>
      </c>
      <c r="O89" s="16">
        <f t="shared" si="43"/>
        <v>0</v>
      </c>
    </row>
    <row r="90" spans="1:15">
      <c r="B90" s="40" t="s">
        <v>97</v>
      </c>
      <c r="C90" s="36">
        <f>C19-C53</f>
        <v>11190.763333333334</v>
      </c>
      <c r="D90" s="36">
        <f t="shared" ref="D90:N90" si="47">D19-D53</f>
        <v>12634.753333333334</v>
      </c>
      <c r="E90" s="36">
        <f t="shared" si="47"/>
        <v>7380.3433333333342</v>
      </c>
      <c r="F90" s="36">
        <f t="shared" si="47"/>
        <v>12689.583333333334</v>
      </c>
      <c r="G90" s="36">
        <f t="shared" si="47"/>
        <v>12689.583333333334</v>
      </c>
      <c r="H90" s="36">
        <f t="shared" si="47"/>
        <v>12689.583333333334</v>
      </c>
      <c r="I90" s="36">
        <f t="shared" si="47"/>
        <v>12689.583333333334</v>
      </c>
      <c r="J90" s="36">
        <f t="shared" si="47"/>
        <v>12689.583333333334</v>
      </c>
      <c r="K90" s="36">
        <f t="shared" si="47"/>
        <v>12689.583333333334</v>
      </c>
      <c r="L90" s="36">
        <f t="shared" si="47"/>
        <v>12689.583333333334</v>
      </c>
      <c r="M90" s="36">
        <f t="shared" si="47"/>
        <v>12689.583333333334</v>
      </c>
      <c r="N90" s="36">
        <f t="shared" si="47"/>
        <v>12689.583333333334</v>
      </c>
      <c r="O90" s="16">
        <f t="shared" ref="O90" si="48">SUM(C90:N90)</f>
        <v>145412.10999999999</v>
      </c>
    </row>
    <row r="91" spans="1:15">
      <c r="B91" s="40" t="s">
        <v>35</v>
      </c>
      <c r="C91" s="36">
        <f t="shared" ref="C91:E92" si="49">C22-C56</f>
        <v>123991.44</v>
      </c>
      <c r="D91" s="36">
        <f t="shared" si="49"/>
        <v>123508.01</v>
      </c>
      <c r="E91" s="36">
        <f t="shared" si="49"/>
        <v>123587.04</v>
      </c>
      <c r="F91" s="36">
        <f t="shared" ref="F91:G92" si="50">F22-F56</f>
        <v>126000</v>
      </c>
      <c r="G91" s="36">
        <f t="shared" si="50"/>
        <v>126000</v>
      </c>
      <c r="H91" s="36">
        <f t="shared" ref="H91:I92" si="51">H22-H56</f>
        <v>126000</v>
      </c>
      <c r="I91" s="36">
        <f t="shared" si="51"/>
        <v>126000</v>
      </c>
      <c r="J91" s="36">
        <f t="shared" ref="J91:K92" si="52">J22-J56</f>
        <v>126000</v>
      </c>
      <c r="K91" s="36">
        <f t="shared" si="52"/>
        <v>126000</v>
      </c>
      <c r="L91" s="36">
        <f t="shared" ref="L91:N92" si="53">L22-L56</f>
        <v>126000</v>
      </c>
      <c r="M91" s="36">
        <f t="shared" si="53"/>
        <v>126000</v>
      </c>
      <c r="N91" s="36">
        <f t="shared" si="53"/>
        <v>126000</v>
      </c>
      <c r="O91" s="16">
        <f t="shared" si="43"/>
        <v>1505086.49</v>
      </c>
    </row>
    <row r="92" spans="1:15">
      <c r="B92" s="40" t="s">
        <v>99</v>
      </c>
      <c r="C92" s="36">
        <f t="shared" si="49"/>
        <v>43822.813333333324</v>
      </c>
      <c r="D92" s="36">
        <f t="shared" si="49"/>
        <v>36639.173333333325</v>
      </c>
      <c r="E92" s="36">
        <f t="shared" si="49"/>
        <v>27716.613333333327</v>
      </c>
      <c r="F92" s="36">
        <f t="shared" si="50"/>
        <v>77233.333333333328</v>
      </c>
      <c r="G92" s="36">
        <f t="shared" si="50"/>
        <v>77233.333333333328</v>
      </c>
      <c r="H92" s="36">
        <f t="shared" si="51"/>
        <v>77233.333333333328</v>
      </c>
      <c r="I92" s="36">
        <f t="shared" si="51"/>
        <v>77233.333333333328</v>
      </c>
      <c r="J92" s="36">
        <f t="shared" si="52"/>
        <v>77233.333333333328</v>
      </c>
      <c r="K92" s="36">
        <f t="shared" si="52"/>
        <v>77233.333333333328</v>
      </c>
      <c r="L92" s="36">
        <f t="shared" si="53"/>
        <v>77233.333333333328</v>
      </c>
      <c r="M92" s="36">
        <f t="shared" si="53"/>
        <v>77233.333333333328</v>
      </c>
      <c r="N92" s="36">
        <f t="shared" si="53"/>
        <v>77233.333333333328</v>
      </c>
      <c r="O92" s="16">
        <f t="shared" ref="O92" si="54">SUM(C92:N92)</f>
        <v>803278.6</v>
      </c>
    </row>
    <row r="93" spans="1:15">
      <c r="B93" s="40" t="s">
        <v>36</v>
      </c>
      <c r="C93" s="36">
        <f t="shared" ref="C93:E93" si="55">C24-C58</f>
        <v>37295.75</v>
      </c>
      <c r="D93" s="36">
        <f t="shared" si="55"/>
        <v>15414.229999999996</v>
      </c>
      <c r="E93" s="36">
        <f t="shared" si="55"/>
        <v>7936.6699999999983</v>
      </c>
      <c r="F93" s="36">
        <f t="shared" ref="F93:G93" si="56">F24-F58</f>
        <v>122628</v>
      </c>
      <c r="G93" s="36">
        <f t="shared" si="56"/>
        <v>122628</v>
      </c>
      <c r="H93" s="36">
        <f t="shared" ref="H93:I93" si="57">H24-H58</f>
        <v>122628</v>
      </c>
      <c r="I93" s="36">
        <f t="shared" si="57"/>
        <v>122628</v>
      </c>
      <c r="J93" s="36">
        <f t="shared" ref="J93:K93" si="58">J24-J58</f>
        <v>122628</v>
      </c>
      <c r="K93" s="36">
        <f t="shared" si="58"/>
        <v>122628</v>
      </c>
      <c r="L93" s="36">
        <f t="shared" ref="L93:N93" si="59">L24-L58</f>
        <v>122628</v>
      </c>
      <c r="M93" s="36">
        <f t="shared" si="59"/>
        <v>122628</v>
      </c>
      <c r="N93" s="36">
        <f t="shared" si="59"/>
        <v>122628</v>
      </c>
      <c r="O93" s="16">
        <f t="shared" si="43"/>
        <v>1164298.6499999999</v>
      </c>
    </row>
    <row r="94" spans="1:15">
      <c r="A94" t="s">
        <v>80</v>
      </c>
      <c r="B94" s="41" t="s">
        <v>41</v>
      </c>
      <c r="C94" s="19">
        <f t="shared" ref="C94:E94" si="60">C25-C59</f>
        <v>163373.80666666664</v>
      </c>
      <c r="D94" s="19">
        <f t="shared" si="60"/>
        <v>223395.96666666662</v>
      </c>
      <c r="E94" s="19">
        <f t="shared" si="60"/>
        <v>102803.43666666659</v>
      </c>
      <c r="F94" s="19">
        <f t="shared" ref="F94:G94" si="61">F25-F59</f>
        <v>394081.41666666663</v>
      </c>
      <c r="G94" s="19">
        <f t="shared" si="61"/>
        <v>394081.41666666663</v>
      </c>
      <c r="H94" s="19">
        <f t="shared" ref="H94:I94" si="62">H25-H59</f>
        <v>394081.41666666663</v>
      </c>
      <c r="I94" s="19">
        <f t="shared" si="62"/>
        <v>394081.41666666663</v>
      </c>
      <c r="J94" s="19">
        <f t="shared" ref="J94:K94" si="63">J25-J59</f>
        <v>394081.41666666663</v>
      </c>
      <c r="K94" s="19">
        <f t="shared" si="63"/>
        <v>394081.41666666663</v>
      </c>
      <c r="L94" s="19">
        <f t="shared" ref="L94:N94" si="64">L25-L59</f>
        <v>394081.41666666663</v>
      </c>
      <c r="M94" s="19">
        <f t="shared" si="64"/>
        <v>394081.41666666663</v>
      </c>
      <c r="N94" s="19">
        <f t="shared" si="64"/>
        <v>394081.41666666663</v>
      </c>
      <c r="O94" s="19">
        <f t="shared" ref="O94" si="65">SUM(O86:O93)</f>
        <v>4036305.96</v>
      </c>
    </row>
    <row r="95" spans="1:15">
      <c r="B95" s="41"/>
      <c r="C95" s="36" t="s">
        <v>58</v>
      </c>
      <c r="D95" s="36" t="s">
        <v>58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18"/>
    </row>
    <row r="96" spans="1:15">
      <c r="B96" s="41" t="s">
        <v>74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18"/>
    </row>
    <row r="97" spans="1:15">
      <c r="B97" s="40" t="s">
        <v>31</v>
      </c>
      <c r="C97" s="36">
        <f t="shared" ref="C97:E97" si="66">C28-C62</f>
        <v>16044.816666666668</v>
      </c>
      <c r="D97" s="36">
        <f t="shared" si="66"/>
        <v>16756.546666666669</v>
      </c>
      <c r="E97" s="36">
        <f t="shared" si="66"/>
        <v>15735.236666666668</v>
      </c>
      <c r="F97" s="36">
        <f t="shared" ref="F97:G97" si="67">F28-F62</f>
        <v>23310.916666666668</v>
      </c>
      <c r="G97" s="36">
        <f t="shared" si="67"/>
        <v>23310.916666666668</v>
      </c>
      <c r="H97" s="36">
        <f t="shared" ref="H97:I97" si="68">H28-H62</f>
        <v>23310.916666666668</v>
      </c>
      <c r="I97" s="36">
        <f t="shared" si="68"/>
        <v>23310.916666666668</v>
      </c>
      <c r="J97" s="36">
        <f t="shared" ref="J97:K97" si="69">J28-J62</f>
        <v>23310.916666666668</v>
      </c>
      <c r="K97" s="36">
        <f t="shared" si="69"/>
        <v>23310.916666666668</v>
      </c>
      <c r="L97" s="36">
        <f t="shared" ref="L97:N97" si="70">L28-L62</f>
        <v>23310.916666666668</v>
      </c>
      <c r="M97" s="36">
        <f t="shared" si="70"/>
        <v>23310.916666666668</v>
      </c>
      <c r="N97" s="36">
        <f t="shared" si="70"/>
        <v>23310.916666666668</v>
      </c>
      <c r="O97" s="16">
        <f t="shared" ref="O97:O104" si="71">SUM(C97:N97)</f>
        <v>258334.84999999998</v>
      </c>
    </row>
    <row r="98" spans="1:15">
      <c r="B98" s="40" t="s">
        <v>32</v>
      </c>
      <c r="C98" s="36">
        <f t="shared" ref="C98:E98" si="72">C29-C63</f>
        <v>164.863333333333</v>
      </c>
      <c r="D98" s="36">
        <f t="shared" si="72"/>
        <v>452.89333333333332</v>
      </c>
      <c r="E98" s="36">
        <f t="shared" si="72"/>
        <v>-131.91666666666674</v>
      </c>
      <c r="F98" s="36">
        <f t="shared" ref="F98:G98" si="73">F29-F63</f>
        <v>1439.3333333333333</v>
      </c>
      <c r="G98" s="36">
        <f t="shared" si="73"/>
        <v>1439.3333333333333</v>
      </c>
      <c r="H98" s="36">
        <f t="shared" ref="H98:I98" si="74">H29-H63</f>
        <v>1439.3333333333333</v>
      </c>
      <c r="I98" s="36">
        <f t="shared" si="74"/>
        <v>1439.3333333333333</v>
      </c>
      <c r="J98" s="36">
        <f t="shared" ref="J98:K98" si="75">J29-J63</f>
        <v>1439.3333333333333</v>
      </c>
      <c r="K98" s="36">
        <f t="shared" si="75"/>
        <v>1439.3333333333333</v>
      </c>
      <c r="L98" s="36">
        <f t="shared" ref="L98:N98" si="76">L29-L63</f>
        <v>1439.3333333333333</v>
      </c>
      <c r="M98" s="36">
        <f t="shared" si="76"/>
        <v>1439.3333333333333</v>
      </c>
      <c r="N98" s="36">
        <f t="shared" si="76"/>
        <v>1439.3333333333333</v>
      </c>
      <c r="O98" s="16">
        <f t="shared" si="71"/>
        <v>13439.84</v>
      </c>
    </row>
    <row r="99" spans="1:15">
      <c r="B99" s="40" t="s">
        <v>97</v>
      </c>
      <c r="C99" s="36">
        <f t="shared" ref="C99:E99" si="77">C30-C64</f>
        <v>-1372.6499999999999</v>
      </c>
      <c r="D99" s="36">
        <f t="shared" si="77"/>
        <v>-653.61</v>
      </c>
      <c r="E99" s="36">
        <f t="shared" si="77"/>
        <v>718.98</v>
      </c>
      <c r="F99" s="36">
        <f t="shared" ref="F99:G99" si="78">F30-F64</f>
        <v>0</v>
      </c>
      <c r="G99" s="36">
        <f t="shared" si="78"/>
        <v>0</v>
      </c>
      <c r="H99" s="36">
        <f t="shared" ref="H99:I99" si="79">H30-H64</f>
        <v>0</v>
      </c>
      <c r="I99" s="36">
        <f t="shared" si="79"/>
        <v>0</v>
      </c>
      <c r="J99" s="36">
        <f t="shared" ref="J99:K99" si="80">J30-J64</f>
        <v>0</v>
      </c>
      <c r="K99" s="36">
        <f t="shared" si="80"/>
        <v>0</v>
      </c>
      <c r="L99" s="36">
        <f t="shared" ref="L99:N99" si="81">L30-L64</f>
        <v>0</v>
      </c>
      <c r="M99" s="36">
        <f t="shared" si="81"/>
        <v>0</v>
      </c>
      <c r="N99" s="36">
        <f t="shared" si="81"/>
        <v>0</v>
      </c>
      <c r="O99" s="16">
        <f t="shared" si="71"/>
        <v>-1307.2799999999997</v>
      </c>
    </row>
    <row r="100" spans="1:15" hidden="1">
      <c r="B100" s="40" t="s">
        <v>33</v>
      </c>
      <c r="C100" s="36">
        <f t="shared" ref="C100:E100" si="82">C31-C65</f>
        <v>0</v>
      </c>
      <c r="D100" s="36">
        <f t="shared" si="82"/>
        <v>0</v>
      </c>
      <c r="E100" s="36">
        <f t="shared" si="82"/>
        <v>0</v>
      </c>
      <c r="F100" s="36">
        <f t="shared" ref="F100:G100" si="83">F31-F65</f>
        <v>0</v>
      </c>
      <c r="G100" s="36">
        <f t="shared" si="83"/>
        <v>0</v>
      </c>
      <c r="H100" s="36">
        <f t="shared" ref="H100:I100" si="84">H31-H65</f>
        <v>0</v>
      </c>
      <c r="I100" s="36">
        <f t="shared" si="84"/>
        <v>0</v>
      </c>
      <c r="J100" s="36">
        <f t="shared" ref="J100:K100" si="85">J31-J65</f>
        <v>0</v>
      </c>
      <c r="K100" s="36">
        <f t="shared" si="85"/>
        <v>0</v>
      </c>
      <c r="L100" s="36">
        <f t="shared" ref="L100:N100" si="86">L31-L65</f>
        <v>0</v>
      </c>
      <c r="M100" s="36">
        <f t="shared" si="86"/>
        <v>0</v>
      </c>
      <c r="N100" s="36">
        <f t="shared" si="86"/>
        <v>0</v>
      </c>
      <c r="O100" s="16">
        <f t="shared" si="71"/>
        <v>0</v>
      </c>
    </row>
    <row r="101" spans="1:15" hidden="1">
      <c r="B101" s="40" t="s">
        <v>34</v>
      </c>
      <c r="C101" s="36">
        <f t="shared" ref="C101:E101" si="87">C32-C66</f>
        <v>0</v>
      </c>
      <c r="D101" s="36">
        <f t="shared" si="87"/>
        <v>0</v>
      </c>
      <c r="E101" s="36">
        <f t="shared" si="87"/>
        <v>0</v>
      </c>
      <c r="F101" s="36">
        <f t="shared" ref="F101:G101" si="88">F32-F66</f>
        <v>0</v>
      </c>
      <c r="G101" s="36">
        <f t="shared" si="88"/>
        <v>0</v>
      </c>
      <c r="H101" s="36">
        <f t="shared" ref="H101:I101" si="89">H32-H66</f>
        <v>0</v>
      </c>
      <c r="I101" s="36">
        <f t="shared" si="89"/>
        <v>0</v>
      </c>
      <c r="J101" s="36">
        <f t="shared" ref="J101:K101" si="90">J32-J66</f>
        <v>0</v>
      </c>
      <c r="K101" s="36">
        <f t="shared" si="90"/>
        <v>0</v>
      </c>
      <c r="L101" s="36">
        <f t="shared" ref="L101:N101" si="91">L32-L66</f>
        <v>0</v>
      </c>
      <c r="M101" s="36">
        <f t="shared" si="91"/>
        <v>0</v>
      </c>
      <c r="N101" s="36">
        <f t="shared" si="91"/>
        <v>0</v>
      </c>
      <c r="O101" s="16">
        <f t="shared" si="71"/>
        <v>0</v>
      </c>
    </row>
    <row r="102" spans="1:15" hidden="1">
      <c r="B102" s="40" t="s">
        <v>35</v>
      </c>
      <c r="C102" s="36">
        <f>C33-C67</f>
        <v>0</v>
      </c>
      <c r="D102" s="36">
        <f t="shared" ref="D102:N102" si="92">D33-D67</f>
        <v>0</v>
      </c>
      <c r="E102" s="36">
        <f t="shared" si="92"/>
        <v>0</v>
      </c>
      <c r="F102" s="36">
        <f t="shared" si="92"/>
        <v>0</v>
      </c>
      <c r="G102" s="36">
        <f t="shared" si="92"/>
        <v>0</v>
      </c>
      <c r="H102" s="36">
        <f t="shared" si="92"/>
        <v>0</v>
      </c>
      <c r="I102" s="36">
        <f t="shared" si="92"/>
        <v>0</v>
      </c>
      <c r="J102" s="36">
        <f t="shared" si="92"/>
        <v>0</v>
      </c>
      <c r="K102" s="36">
        <f t="shared" si="92"/>
        <v>0</v>
      </c>
      <c r="L102" s="36">
        <f t="shared" si="92"/>
        <v>0</v>
      </c>
      <c r="M102" s="36">
        <f t="shared" si="92"/>
        <v>0</v>
      </c>
      <c r="N102" s="36">
        <f t="shared" si="92"/>
        <v>0</v>
      </c>
      <c r="O102" s="16">
        <f t="shared" si="71"/>
        <v>0</v>
      </c>
    </row>
    <row r="103" spans="1:15">
      <c r="B103" s="40" t="s">
        <v>99</v>
      </c>
      <c r="C103" s="36">
        <f>C34-C68</f>
        <v>13720</v>
      </c>
      <c r="D103" s="36">
        <f t="shared" ref="D103:N103" si="93">D34-D68</f>
        <v>13720</v>
      </c>
      <c r="E103" s="36">
        <f t="shared" si="93"/>
        <v>13720</v>
      </c>
      <c r="F103" s="36">
        <f t="shared" si="93"/>
        <v>13720</v>
      </c>
      <c r="G103" s="36">
        <f t="shared" si="93"/>
        <v>13720</v>
      </c>
      <c r="H103" s="36">
        <f t="shared" si="93"/>
        <v>13720</v>
      </c>
      <c r="I103" s="36">
        <f t="shared" si="93"/>
        <v>13720</v>
      </c>
      <c r="J103" s="36">
        <f t="shared" si="93"/>
        <v>13720</v>
      </c>
      <c r="K103" s="36">
        <f t="shared" si="93"/>
        <v>13720</v>
      </c>
      <c r="L103" s="36">
        <f t="shared" si="93"/>
        <v>13720</v>
      </c>
      <c r="M103" s="36">
        <f t="shared" si="93"/>
        <v>13720</v>
      </c>
      <c r="N103" s="36">
        <f t="shared" si="93"/>
        <v>13720</v>
      </c>
      <c r="O103" s="16">
        <f t="shared" ref="O103" si="94">SUM(C103:N103)</f>
        <v>164640</v>
      </c>
    </row>
    <row r="104" spans="1:15">
      <c r="B104" s="40" t="s">
        <v>36</v>
      </c>
      <c r="C104" s="36">
        <f>C35-C69</f>
        <v>115724.25</v>
      </c>
      <c r="D104" s="36">
        <f t="shared" ref="D104:N104" si="95">D35-D69</f>
        <v>115724.25</v>
      </c>
      <c r="E104" s="36">
        <f t="shared" si="95"/>
        <v>115724.25</v>
      </c>
      <c r="F104" s="36">
        <f t="shared" si="95"/>
        <v>115724.25</v>
      </c>
      <c r="G104" s="36">
        <f t="shared" si="95"/>
        <v>115724.25</v>
      </c>
      <c r="H104" s="36">
        <f t="shared" si="95"/>
        <v>115724.25</v>
      </c>
      <c r="I104" s="36">
        <f t="shared" si="95"/>
        <v>115724.25</v>
      </c>
      <c r="J104" s="36">
        <f t="shared" si="95"/>
        <v>115724.25</v>
      </c>
      <c r="K104" s="36">
        <f t="shared" si="95"/>
        <v>115724.25</v>
      </c>
      <c r="L104" s="36">
        <f t="shared" si="95"/>
        <v>115724.25</v>
      </c>
      <c r="M104" s="36">
        <f t="shared" si="95"/>
        <v>115724.25</v>
      </c>
      <c r="N104" s="36">
        <f t="shared" si="95"/>
        <v>115724.25</v>
      </c>
      <c r="O104" s="16">
        <f t="shared" si="71"/>
        <v>1388691</v>
      </c>
    </row>
    <row r="105" spans="1:15">
      <c r="A105" t="s">
        <v>81</v>
      </c>
      <c r="B105" s="41" t="s">
        <v>41</v>
      </c>
      <c r="C105" s="19">
        <f>C36-C70</f>
        <v>144281.28</v>
      </c>
      <c r="D105" s="19">
        <f t="shared" ref="D105:N105" si="96">D36-D70</f>
        <v>146000.07999999999</v>
      </c>
      <c r="E105" s="19">
        <f t="shared" si="96"/>
        <v>145766.54999999999</v>
      </c>
      <c r="F105" s="19">
        <f t="shared" si="96"/>
        <v>154194.5</v>
      </c>
      <c r="G105" s="19">
        <f t="shared" si="96"/>
        <v>154194.5</v>
      </c>
      <c r="H105" s="19">
        <f t="shared" si="96"/>
        <v>154194.5</v>
      </c>
      <c r="I105" s="19">
        <f t="shared" si="96"/>
        <v>154194.5</v>
      </c>
      <c r="J105" s="19">
        <f t="shared" si="96"/>
        <v>154194.5</v>
      </c>
      <c r="K105" s="19">
        <f t="shared" si="96"/>
        <v>154194.5</v>
      </c>
      <c r="L105" s="19">
        <f t="shared" si="96"/>
        <v>154194.5</v>
      </c>
      <c r="M105" s="19">
        <f t="shared" si="96"/>
        <v>154194.5</v>
      </c>
      <c r="N105" s="19">
        <f t="shared" si="96"/>
        <v>154194.5</v>
      </c>
      <c r="O105" s="19">
        <f t="shared" ref="O105" si="97">SUM(O97:O104)</f>
        <v>1823798.41</v>
      </c>
    </row>
    <row r="106" spans="1:15">
      <c r="B106" s="41"/>
      <c r="C106" s="36" t="s">
        <v>58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8"/>
    </row>
    <row r="107" spans="1:15" ht="15.75" thickBot="1">
      <c r="B107" s="41" t="s">
        <v>41</v>
      </c>
      <c r="C107" s="38">
        <f t="shared" ref="C107:N107" si="98">C38-C72</f>
        <v>-419680.06333333347</v>
      </c>
      <c r="D107" s="38">
        <f t="shared" si="98"/>
        <v>634405.87666666647</v>
      </c>
      <c r="E107" s="38">
        <f t="shared" si="98"/>
        <v>226403.55666666641</v>
      </c>
      <c r="F107" s="38">
        <f t="shared" si="98"/>
        <v>1256556.6666666665</v>
      </c>
      <c r="G107" s="38">
        <f t="shared" si="98"/>
        <v>1256556.6666666665</v>
      </c>
      <c r="H107" s="38">
        <f t="shared" si="98"/>
        <v>1256556.6666666665</v>
      </c>
      <c r="I107" s="38">
        <f t="shared" si="98"/>
        <v>1256556.6666666665</v>
      </c>
      <c r="J107" s="38">
        <f t="shared" si="98"/>
        <v>1256556.6666666665</v>
      </c>
      <c r="K107" s="38">
        <f t="shared" si="98"/>
        <v>1256556.6666666665</v>
      </c>
      <c r="L107" s="38">
        <f t="shared" si="98"/>
        <v>1256556.6666666665</v>
      </c>
      <c r="M107" s="38">
        <f t="shared" si="98"/>
        <v>1256556.6666666665</v>
      </c>
      <c r="N107" s="38">
        <f t="shared" si="98"/>
        <v>1256556.6666666665</v>
      </c>
      <c r="O107" s="38">
        <f>O105+O94+O83</f>
        <v>11750139.370000001</v>
      </c>
    </row>
    <row r="108" spans="1:15" ht="15.75" thickTop="1">
      <c r="B108" s="9"/>
    </row>
    <row r="109" spans="1:15">
      <c r="A109">
        <v>0</v>
      </c>
      <c r="B109" s="9"/>
    </row>
    <row r="110" spans="1:15">
      <c r="B110" s="32" t="s">
        <v>53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5" ht="31.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5" ht="31.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4" spans="2:15">
      <c r="B114" s="61" t="s">
        <v>55</v>
      </c>
    </row>
    <row r="115" spans="2:15">
      <c r="B115" s="96" t="s">
        <v>114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>
      <c r="B116" s="96" t="s">
        <v>122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>
      <c r="B117" s="96" t="s">
        <v>130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'WA-Sch191 Rider Balance'!J17</f>
        <v>657836.98644040385</v>
      </c>
    </row>
    <row r="3" spans="1:2">
      <c r="A3" s="81"/>
    </row>
    <row r="4" spans="1:2">
      <c r="A4" s="81" t="s">
        <v>91</v>
      </c>
      <c r="B4" s="1">
        <v>2972000</v>
      </c>
    </row>
    <row r="5" spans="1:2">
      <c r="A5" s="81" t="s">
        <v>92</v>
      </c>
      <c r="B5" s="88">
        <f>SUM('WA-Sch191 Rider Balance'!K11:N11)</f>
        <v>1745400.6666666667</v>
      </c>
    </row>
    <row r="6" spans="1:2">
      <c r="A6" s="81"/>
      <c r="B6" s="1">
        <f>B5-B4</f>
        <v>-1226599.3333333333</v>
      </c>
    </row>
    <row r="8" spans="1:2">
      <c r="A8" s="81" t="s">
        <v>93</v>
      </c>
      <c r="B8" s="3">
        <f>B2+B6</f>
        <v>-568762.3468929294</v>
      </c>
    </row>
    <row r="10" spans="1:2">
      <c r="A10" s="81" t="s">
        <v>94</v>
      </c>
      <c r="B10" s="1">
        <v>7703000</v>
      </c>
    </row>
    <row r="11" spans="1:2">
      <c r="A11" t="s">
        <v>95</v>
      </c>
      <c r="B11" s="89"/>
    </row>
    <row r="12" spans="1:2">
      <c r="B12" s="3">
        <f>B11-B10</f>
        <v>-7703000</v>
      </c>
    </row>
    <row r="14" spans="1:2">
      <c r="A14" t="s">
        <v>96</v>
      </c>
      <c r="B14" s="3">
        <f>B8+B12</f>
        <v>-8271762.3468929296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21" width="10.5703125" bestFit="1" customWidth="1"/>
    <col min="22" max="22" width="9.140625" bestFit="1" customWidth="1"/>
    <col min="23" max="24" width="9.7109375" bestFit="1" customWidth="1"/>
    <col min="25" max="26" width="11.28515625" bestFit="1" customWidth="1"/>
    <col min="27" max="30" width="9.7109375" bestFit="1" customWidth="1"/>
    <col min="3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657836.98644040385</v>
      </c>
      <c r="H5" s="1">
        <v>657836.98644040385</v>
      </c>
      <c r="I5" s="1">
        <v>657836.98644040385</v>
      </c>
      <c r="J5" s="1">
        <v>657836.98644040385</v>
      </c>
      <c r="K5" s="1">
        <v>657836.98644040385</v>
      </c>
      <c r="L5" s="1">
        <v>657836.98644040385</v>
      </c>
      <c r="M5" s="1">
        <v>657836.98644040385</v>
      </c>
      <c r="N5" s="1">
        <v>657836.98644040385</v>
      </c>
      <c r="O5" s="40"/>
      <c r="P5" s="44">
        <v>2970263.64</v>
      </c>
      <c r="Q5" s="47">
        <v>657836.98644040385</v>
      </c>
      <c r="R5" s="47">
        <v>657836.98644040385</v>
      </c>
      <c r="S5" s="47">
        <v>657836.98644040385</v>
      </c>
      <c r="U5" s="47">
        <v>-737489.15370879951</v>
      </c>
      <c r="V5" s="47">
        <v>-737489.15370879951</v>
      </c>
      <c r="W5" s="47">
        <v>-737489.15370879951</v>
      </c>
      <c r="X5" s="47">
        <v>-737489.15370879951</v>
      </c>
      <c r="Y5" s="47">
        <v>-737489.15370879951</v>
      </c>
      <c r="Z5" s="47">
        <v>-737489.15370879951</v>
      </c>
      <c r="AA5" s="47">
        <v>-737489.15370879951</v>
      </c>
      <c r="AB5" s="47">
        <v>-737489.15370879951</v>
      </c>
      <c r="AC5" s="47">
        <v>-737489.15370879951</v>
      </c>
      <c r="AD5" s="47">
        <v>-737489.15370879951</v>
      </c>
      <c r="AE5" s="47">
        <v>-737489.15370879951</v>
      </c>
      <c r="AF5" s="47">
        <v>-737489.15370879951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3825781.5735595962</v>
      </c>
      <c r="P8" s="47">
        <v>3825781.5735595962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-588676.60669584468</v>
      </c>
      <c r="G9" s="22">
        <v>-342470.29291739844</v>
      </c>
      <c r="H9" s="22">
        <v>-236810.583067306</v>
      </c>
      <c r="I9" s="22">
        <v>-190498.24619396304</v>
      </c>
      <c r="J9" s="22">
        <v>-186760.97676268272</v>
      </c>
      <c r="K9" s="22">
        <v>-245863.36194051101</v>
      </c>
      <c r="L9" s="22">
        <v>-561932.22204592673</v>
      </c>
      <c r="M9" s="22">
        <v>-943018.87904586527</v>
      </c>
      <c r="N9" s="22">
        <v>-1325007.5944366716</v>
      </c>
      <c r="O9" s="48">
        <v>-4037678.6707872879</v>
      </c>
      <c r="P9" s="48">
        <v>583360.0923188813</v>
      </c>
      <c r="Q9" s="48">
        <v>-1167957.4826805491</v>
      </c>
      <c r="R9" s="48">
        <v>-623122.5848971568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1513354.9200000002</v>
      </c>
      <c r="P12" s="47">
        <v>1513354.9200000002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436350.16666666669</v>
      </c>
      <c r="G13" s="23">
        <v>436350.16666666669</v>
      </c>
      <c r="H13" s="23">
        <v>436350.16666666669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3722847.0799999996</v>
      </c>
      <c r="P13" s="49">
        <v>-204304.42000000016</v>
      </c>
      <c r="Q13" s="49">
        <v>1309050.5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2312426.6535595963</v>
      </c>
      <c r="P15" s="45">
        <v>2312426.6535595963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657836.98644040385</v>
      </c>
      <c r="G17" s="59">
        <v>657836.98644040385</v>
      </c>
      <c r="H17" s="59">
        <v>657836.98644040385</v>
      </c>
      <c r="I17" s="59">
        <v>657836.98644040385</v>
      </c>
      <c r="J17" s="59">
        <v>657836.98644040385</v>
      </c>
      <c r="K17" s="59">
        <v>657836.98644040385</v>
      </c>
      <c r="L17" s="59">
        <v>657836.98644040385</v>
      </c>
      <c r="M17" s="59">
        <v>657836.98644040385</v>
      </c>
      <c r="N17" s="59">
        <v>657836.98644040385</v>
      </c>
      <c r="O17" s="47"/>
      <c r="P17" s="47">
        <v>657836.98644040385</v>
      </c>
      <c r="Q17" s="47">
        <v>657836.98644040385</v>
      </c>
      <c r="R17" s="47">
        <v>657836.98644040385</v>
      </c>
      <c r="S17" s="47">
        <v>657836.98644040385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505510.54641122586</v>
      </c>
      <c r="G19" s="3">
        <v>751716.86018967209</v>
      </c>
      <c r="H19" s="3">
        <v>857376.57003976451</v>
      </c>
      <c r="I19" s="3">
        <v>903688.90691310749</v>
      </c>
      <c r="J19" s="3">
        <v>907426.17634438782</v>
      </c>
      <c r="K19" s="3">
        <v>848323.79116655956</v>
      </c>
      <c r="L19" s="3">
        <v>532254.93106114375</v>
      </c>
      <c r="M19" s="3">
        <v>151168.27406120527</v>
      </c>
      <c r="N19" s="3">
        <v>-737489.15370879951</v>
      </c>
      <c r="O19" s="40"/>
      <c r="P19" s="47"/>
      <c r="Q19" s="40"/>
      <c r="R19" s="40"/>
      <c r="S19" s="40"/>
      <c r="U19" s="47">
        <v>-737489.15370879951</v>
      </c>
      <c r="V19" s="47">
        <v>-737489.15370879951</v>
      </c>
      <c r="W19" s="47">
        <v>-737489.15370879951</v>
      </c>
      <c r="X19" s="47">
        <v>-737489.15370879951</v>
      </c>
      <c r="Y19" s="47">
        <v>-737489.15370879951</v>
      </c>
      <c r="Z19" s="47">
        <v>-737489.15370879951</v>
      </c>
      <c r="AA19" s="47">
        <v>-737489.15370879951</v>
      </c>
      <c r="AB19" s="47">
        <v>-737489.15370879951</v>
      </c>
      <c r="AC19" s="47">
        <v>-737489.15370879951</v>
      </c>
      <c r="AD19" s="47">
        <v>-737489.15370879951</v>
      </c>
      <c r="AE19" s="47">
        <v>-737489.15370879951</v>
      </c>
      <c r="AF19" s="47">
        <v>-737489.15370879951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6" t="s">
        <v>115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32">
      <c r="B24" s="96" t="s">
        <v>127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6" t="s">
        <v>134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2:32">
      <c r="B26" s="96" t="s">
        <v>58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32">
      <c r="B27" s="96" t="s">
        <v>58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2:32">
      <c r="B28" s="96" t="s">
        <v>58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2:32">
      <c r="B29" s="96" t="s">
        <v>58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2:32">
      <c r="B30" s="96" t="s">
        <v>58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2:32">
      <c r="B31" s="96" t="s">
        <v>58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2:32">
      <c r="B32" s="96" t="s">
        <v>58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</sheetData>
  <mergeCells count="10"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117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2" sqref="A2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43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63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97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64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31</v>
      </c>
      <c r="C17" s="20">
        <f>24286/12</f>
        <v>2023.8333333333333</v>
      </c>
      <c r="D17" s="18">
        <f>C17</f>
        <v>2023.8333333333333</v>
      </c>
      <c r="E17" s="18">
        <f t="shared" ref="E17:N17" si="4">D17</f>
        <v>2023.8333333333333</v>
      </c>
      <c r="F17" s="18">
        <f t="shared" si="4"/>
        <v>2023.8333333333333</v>
      </c>
      <c r="G17" s="18">
        <f t="shared" si="4"/>
        <v>2023.8333333333333</v>
      </c>
      <c r="H17" s="18">
        <f t="shared" si="4"/>
        <v>2023.8333333333333</v>
      </c>
      <c r="I17" s="18">
        <f t="shared" si="4"/>
        <v>2023.8333333333333</v>
      </c>
      <c r="J17" s="18">
        <f t="shared" si="4"/>
        <v>2023.8333333333333</v>
      </c>
      <c r="K17" s="18">
        <f t="shared" si="4"/>
        <v>2023.8333333333333</v>
      </c>
      <c r="L17" s="18">
        <f t="shared" si="4"/>
        <v>2023.8333333333333</v>
      </c>
      <c r="M17" s="18">
        <f t="shared" si="4"/>
        <v>2023.8333333333333</v>
      </c>
      <c r="N17" s="18">
        <f t="shared" si="4"/>
        <v>2023.8333333333333</v>
      </c>
      <c r="O17" s="52">
        <f t="shared" ref="O17:O24" si="5">SUM(C17:N17)</f>
        <v>24285.999999999996</v>
      </c>
    </row>
    <row r="18" spans="1:15">
      <c r="B18" s="5" t="s">
        <v>32</v>
      </c>
      <c r="C18" s="18">
        <f>14627/12</f>
        <v>1218.9166666666667</v>
      </c>
      <c r="D18" s="18">
        <f>C18</f>
        <v>1218.9166666666667</v>
      </c>
      <c r="E18" s="18">
        <f t="shared" ref="E18:N18" si="6">D18</f>
        <v>1218.9166666666667</v>
      </c>
      <c r="F18" s="18">
        <f t="shared" si="6"/>
        <v>1218.9166666666667</v>
      </c>
      <c r="G18" s="18">
        <f t="shared" si="6"/>
        <v>1218.9166666666667</v>
      </c>
      <c r="H18" s="18">
        <f t="shared" si="6"/>
        <v>1218.9166666666667</v>
      </c>
      <c r="I18" s="18">
        <f t="shared" si="6"/>
        <v>1218.9166666666667</v>
      </c>
      <c r="J18" s="18">
        <f t="shared" si="6"/>
        <v>1218.9166666666667</v>
      </c>
      <c r="K18" s="18">
        <f t="shared" si="6"/>
        <v>1218.9166666666667</v>
      </c>
      <c r="L18" s="18">
        <f t="shared" si="6"/>
        <v>1218.9166666666667</v>
      </c>
      <c r="M18" s="18">
        <f t="shared" si="6"/>
        <v>1218.9166666666667</v>
      </c>
      <c r="N18" s="18">
        <f t="shared" si="6"/>
        <v>1218.9166666666667</v>
      </c>
      <c r="O18" s="52">
        <f t="shared" si="5"/>
        <v>14626.999999999998</v>
      </c>
    </row>
    <row r="19" spans="1:15">
      <c r="B19" s="5" t="s">
        <v>97</v>
      </c>
      <c r="C19" s="18">
        <f>108605/12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15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15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15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15">
      <c r="B23" s="5" t="s">
        <v>99</v>
      </c>
      <c r="C23" s="18">
        <f>231700/12</f>
        <v>19308.333333333332</v>
      </c>
      <c r="D23" s="18">
        <f>C23</f>
        <v>19308.333333333332</v>
      </c>
      <c r="E23" s="18">
        <f t="shared" si="8"/>
        <v>19308.333333333332</v>
      </c>
      <c r="F23" s="18">
        <f t="shared" si="8"/>
        <v>19308.333333333332</v>
      </c>
      <c r="G23" s="18">
        <f t="shared" si="8"/>
        <v>19308.333333333332</v>
      </c>
      <c r="H23" s="18">
        <f t="shared" si="8"/>
        <v>19308.333333333332</v>
      </c>
      <c r="I23" s="18">
        <f t="shared" si="8"/>
        <v>19308.333333333332</v>
      </c>
      <c r="J23" s="18">
        <f t="shared" si="8"/>
        <v>19308.333333333332</v>
      </c>
      <c r="K23" s="18">
        <f t="shared" si="8"/>
        <v>19308.333333333332</v>
      </c>
      <c r="L23" s="18">
        <f t="shared" si="8"/>
        <v>19308.333333333332</v>
      </c>
      <c r="M23" s="18">
        <f t="shared" si="8"/>
        <v>19308.333333333332</v>
      </c>
      <c r="N23" s="18">
        <f t="shared" si="8"/>
        <v>19308.333333333332</v>
      </c>
      <c r="O23" s="52">
        <f t="shared" ref="O23" si="9">SUM(C23:N23)</f>
        <v>231700.00000000003</v>
      </c>
    </row>
    <row r="24" spans="1:15">
      <c r="B24" s="5" t="s">
        <v>36</v>
      </c>
      <c r="C24" s="18">
        <f>145520/12</f>
        <v>12126.666666666666</v>
      </c>
      <c r="D24" s="18">
        <f>C24</f>
        <v>12126.666666666666</v>
      </c>
      <c r="E24" s="18">
        <f t="shared" ref="E24:N24" si="10">D24</f>
        <v>12126.666666666666</v>
      </c>
      <c r="F24" s="18">
        <f t="shared" si="10"/>
        <v>12126.666666666666</v>
      </c>
      <c r="G24" s="18">
        <f t="shared" si="10"/>
        <v>12126.666666666666</v>
      </c>
      <c r="H24" s="18">
        <f t="shared" si="10"/>
        <v>12126.666666666666</v>
      </c>
      <c r="I24" s="18">
        <f t="shared" si="10"/>
        <v>12126.666666666666</v>
      </c>
      <c r="J24" s="18">
        <f t="shared" si="10"/>
        <v>12126.666666666666</v>
      </c>
      <c r="K24" s="18">
        <f t="shared" si="10"/>
        <v>12126.666666666666</v>
      </c>
      <c r="L24" s="18">
        <f t="shared" si="10"/>
        <v>12126.666666666666</v>
      </c>
      <c r="M24" s="18">
        <f t="shared" si="10"/>
        <v>12126.666666666666</v>
      </c>
      <c r="N24" s="18">
        <f t="shared" si="10"/>
        <v>12126.666666666666</v>
      </c>
      <c r="O24" s="52">
        <f t="shared" si="5"/>
        <v>145520</v>
      </c>
    </row>
    <row r="25" spans="1:15">
      <c r="A25" t="s">
        <v>21</v>
      </c>
      <c r="B25" s="9" t="s">
        <v>45</v>
      </c>
      <c r="C25" s="19">
        <f t="shared" ref="C25:N25" si="11">SUM(C17:C24)</f>
        <v>43728.166666666664</v>
      </c>
      <c r="D25" s="19">
        <f t="shared" si="11"/>
        <v>43728.166666666664</v>
      </c>
      <c r="E25" s="19">
        <f t="shared" si="11"/>
        <v>43728.166666666664</v>
      </c>
      <c r="F25" s="19">
        <f t="shared" si="11"/>
        <v>43728.166666666664</v>
      </c>
      <c r="G25" s="19">
        <f t="shared" si="11"/>
        <v>43728.166666666664</v>
      </c>
      <c r="H25" s="19">
        <f t="shared" si="11"/>
        <v>43728.166666666664</v>
      </c>
      <c r="I25" s="19">
        <f t="shared" si="11"/>
        <v>43728.166666666664</v>
      </c>
      <c r="J25" s="19">
        <f t="shared" si="11"/>
        <v>43728.166666666664</v>
      </c>
      <c r="K25" s="19">
        <f t="shared" si="11"/>
        <v>43728.166666666664</v>
      </c>
      <c r="L25" s="19">
        <f t="shared" si="11"/>
        <v>43728.166666666664</v>
      </c>
      <c r="M25" s="19">
        <f t="shared" si="11"/>
        <v>43728.166666666664</v>
      </c>
      <c r="N25" s="19">
        <f t="shared" si="11"/>
        <v>43728.166666666664</v>
      </c>
      <c r="O25" s="53">
        <f>SUM(O17:O24)</f>
        <v>524738</v>
      </c>
    </row>
    <row r="26" spans="1:15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9" t="s">
        <v>65</v>
      </c>
      <c r="F27" s="15"/>
      <c r="G27" s="15"/>
      <c r="H27" s="15"/>
      <c r="I27" s="15"/>
      <c r="J27" s="15"/>
      <c r="K27" s="15"/>
      <c r="L27" s="15"/>
      <c r="M27" s="15"/>
      <c r="N27" s="15"/>
      <c r="O27" s="52"/>
    </row>
    <row r="28" spans="1:15">
      <c r="B28" s="5" t="s">
        <v>31</v>
      </c>
      <c r="C28" s="20">
        <f>98068/12</f>
        <v>8172.333333333333</v>
      </c>
      <c r="D28" s="18">
        <f t="shared" ref="D28:N35" si="12">C28</f>
        <v>8172.333333333333</v>
      </c>
      <c r="E28" s="18">
        <f t="shared" si="12"/>
        <v>8172.333333333333</v>
      </c>
      <c r="F28" s="18">
        <f t="shared" si="12"/>
        <v>8172.333333333333</v>
      </c>
      <c r="G28" s="18">
        <f t="shared" si="12"/>
        <v>8172.333333333333</v>
      </c>
      <c r="H28" s="18">
        <f t="shared" si="12"/>
        <v>8172.333333333333</v>
      </c>
      <c r="I28" s="18">
        <f t="shared" si="12"/>
        <v>8172.333333333333</v>
      </c>
      <c r="J28" s="18">
        <f t="shared" si="12"/>
        <v>8172.333333333333</v>
      </c>
      <c r="K28" s="18">
        <f t="shared" si="12"/>
        <v>8172.333333333333</v>
      </c>
      <c r="L28" s="18">
        <f t="shared" si="12"/>
        <v>8172.333333333333</v>
      </c>
      <c r="M28" s="18">
        <f t="shared" si="12"/>
        <v>8172.333333333333</v>
      </c>
      <c r="N28" s="18">
        <f t="shared" si="12"/>
        <v>8172.333333333333</v>
      </c>
      <c r="O28" s="52">
        <f t="shared" ref="O28:O35" si="13">SUM(C28:N28)</f>
        <v>98067.999999999985</v>
      </c>
    </row>
    <row r="29" spans="1:15">
      <c r="B29" s="5" t="s">
        <v>32</v>
      </c>
      <c r="C29" s="18">
        <f>6010/12</f>
        <v>500.83333333333331</v>
      </c>
      <c r="D29" s="18">
        <f t="shared" si="12"/>
        <v>500.83333333333331</v>
      </c>
      <c r="E29" s="18">
        <f t="shared" si="12"/>
        <v>500.83333333333331</v>
      </c>
      <c r="F29" s="18">
        <f t="shared" si="12"/>
        <v>500.83333333333331</v>
      </c>
      <c r="G29" s="18">
        <f t="shared" si="12"/>
        <v>500.83333333333331</v>
      </c>
      <c r="H29" s="18">
        <f t="shared" si="12"/>
        <v>500.83333333333331</v>
      </c>
      <c r="I29" s="18">
        <f t="shared" si="12"/>
        <v>500.83333333333331</v>
      </c>
      <c r="J29" s="18">
        <f t="shared" si="12"/>
        <v>500.83333333333331</v>
      </c>
      <c r="K29" s="18">
        <f t="shared" si="12"/>
        <v>500.83333333333331</v>
      </c>
      <c r="L29" s="18">
        <f t="shared" si="12"/>
        <v>500.83333333333331</v>
      </c>
      <c r="M29" s="18">
        <f t="shared" si="12"/>
        <v>500.83333333333331</v>
      </c>
      <c r="N29" s="18">
        <f t="shared" si="12"/>
        <v>500.83333333333331</v>
      </c>
      <c r="O29" s="52">
        <f t="shared" si="13"/>
        <v>6009.9999999999991</v>
      </c>
    </row>
    <row r="30" spans="1:15">
      <c r="B30" s="5" t="s">
        <v>97</v>
      </c>
      <c r="C30" s="18">
        <v>0</v>
      </c>
      <c r="D30" s="18">
        <f t="shared" si="12"/>
        <v>0</v>
      </c>
      <c r="E30" s="18">
        <f t="shared" si="12"/>
        <v>0</v>
      </c>
      <c r="F30" s="18">
        <f t="shared" si="12"/>
        <v>0</v>
      </c>
      <c r="G30" s="18">
        <f t="shared" si="12"/>
        <v>0</v>
      </c>
      <c r="H30" s="18">
        <f t="shared" si="12"/>
        <v>0</v>
      </c>
      <c r="I30" s="18">
        <f t="shared" si="12"/>
        <v>0</v>
      </c>
      <c r="J30" s="18">
        <f t="shared" si="12"/>
        <v>0</v>
      </c>
      <c r="K30" s="18">
        <f t="shared" si="12"/>
        <v>0</v>
      </c>
      <c r="L30" s="18">
        <f t="shared" si="12"/>
        <v>0</v>
      </c>
      <c r="M30" s="18">
        <f t="shared" si="12"/>
        <v>0</v>
      </c>
      <c r="N30" s="18">
        <f t="shared" si="12"/>
        <v>0</v>
      </c>
      <c r="O30" s="52">
        <f t="shared" si="13"/>
        <v>0</v>
      </c>
    </row>
    <row r="31" spans="1:15" hidden="1">
      <c r="B31" s="5" t="s">
        <v>33</v>
      </c>
      <c r="C31" s="18">
        <v>0</v>
      </c>
      <c r="D31" s="18">
        <f t="shared" si="12"/>
        <v>0</v>
      </c>
      <c r="E31" s="18">
        <f t="shared" si="12"/>
        <v>0</v>
      </c>
      <c r="F31" s="18">
        <f t="shared" si="12"/>
        <v>0</v>
      </c>
      <c r="G31" s="18">
        <f t="shared" si="12"/>
        <v>0</v>
      </c>
      <c r="H31" s="18">
        <f t="shared" si="12"/>
        <v>0</v>
      </c>
      <c r="I31" s="18">
        <f t="shared" si="12"/>
        <v>0</v>
      </c>
      <c r="J31" s="18">
        <f t="shared" si="12"/>
        <v>0</v>
      </c>
      <c r="K31" s="18">
        <f t="shared" si="12"/>
        <v>0</v>
      </c>
      <c r="L31" s="18">
        <f t="shared" si="12"/>
        <v>0</v>
      </c>
      <c r="M31" s="18">
        <f t="shared" si="12"/>
        <v>0</v>
      </c>
      <c r="N31" s="18">
        <f t="shared" si="12"/>
        <v>0</v>
      </c>
      <c r="O31" s="52">
        <f t="shared" si="13"/>
        <v>0</v>
      </c>
    </row>
    <row r="32" spans="1:15" hidden="1">
      <c r="B32" s="5" t="s">
        <v>34</v>
      </c>
      <c r="C32" s="18">
        <v>0</v>
      </c>
      <c r="D32" s="18">
        <f t="shared" si="12"/>
        <v>0</v>
      </c>
      <c r="E32" s="18">
        <f t="shared" si="12"/>
        <v>0</v>
      </c>
      <c r="F32" s="18">
        <f t="shared" si="12"/>
        <v>0</v>
      </c>
      <c r="G32" s="18">
        <f t="shared" si="12"/>
        <v>0</v>
      </c>
      <c r="H32" s="18">
        <f t="shared" si="12"/>
        <v>0</v>
      </c>
      <c r="I32" s="18">
        <f t="shared" si="12"/>
        <v>0</v>
      </c>
      <c r="J32" s="18">
        <f t="shared" si="12"/>
        <v>0</v>
      </c>
      <c r="K32" s="18">
        <f t="shared" si="12"/>
        <v>0</v>
      </c>
      <c r="L32" s="18">
        <f t="shared" si="12"/>
        <v>0</v>
      </c>
      <c r="M32" s="18">
        <f t="shared" si="12"/>
        <v>0</v>
      </c>
      <c r="N32" s="18">
        <f t="shared" si="12"/>
        <v>0</v>
      </c>
      <c r="O32" s="52">
        <f t="shared" si="13"/>
        <v>0</v>
      </c>
    </row>
    <row r="33" spans="1:29" hidden="1">
      <c r="B33" s="5" t="s">
        <v>35</v>
      </c>
      <c r="C33" s="18">
        <v>0</v>
      </c>
      <c r="D33" s="18">
        <f t="shared" si="12"/>
        <v>0</v>
      </c>
      <c r="E33" s="18">
        <f t="shared" si="12"/>
        <v>0</v>
      </c>
      <c r="F33" s="18">
        <f t="shared" si="12"/>
        <v>0</v>
      </c>
      <c r="G33" s="18">
        <f t="shared" si="12"/>
        <v>0</v>
      </c>
      <c r="H33" s="18">
        <f t="shared" si="12"/>
        <v>0</v>
      </c>
      <c r="I33" s="18">
        <f t="shared" si="12"/>
        <v>0</v>
      </c>
      <c r="J33" s="18">
        <f t="shared" si="12"/>
        <v>0</v>
      </c>
      <c r="K33" s="18">
        <f t="shared" si="12"/>
        <v>0</v>
      </c>
      <c r="L33" s="18">
        <f t="shared" si="12"/>
        <v>0</v>
      </c>
      <c r="M33" s="18">
        <f t="shared" si="12"/>
        <v>0</v>
      </c>
      <c r="N33" s="18">
        <f t="shared" si="12"/>
        <v>0</v>
      </c>
      <c r="O33" s="52">
        <f t="shared" si="13"/>
        <v>0</v>
      </c>
    </row>
    <row r="34" spans="1:29">
      <c r="B34" s="5" t="s">
        <v>99</v>
      </c>
      <c r="C34" s="18">
        <f>41160/12</f>
        <v>3430</v>
      </c>
      <c r="D34" s="18">
        <f>C34</f>
        <v>3430</v>
      </c>
      <c r="E34" s="18">
        <f t="shared" si="12"/>
        <v>3430</v>
      </c>
      <c r="F34" s="18">
        <f t="shared" si="12"/>
        <v>3430</v>
      </c>
      <c r="G34" s="18">
        <f t="shared" si="12"/>
        <v>3430</v>
      </c>
      <c r="H34" s="18">
        <f t="shared" si="12"/>
        <v>3430</v>
      </c>
      <c r="I34" s="18">
        <f t="shared" si="12"/>
        <v>3430</v>
      </c>
      <c r="J34" s="18">
        <f t="shared" si="12"/>
        <v>3430</v>
      </c>
      <c r="K34" s="18">
        <f t="shared" si="12"/>
        <v>3430</v>
      </c>
      <c r="L34" s="18">
        <f t="shared" si="12"/>
        <v>3430</v>
      </c>
      <c r="M34" s="18">
        <f t="shared" si="12"/>
        <v>3430</v>
      </c>
      <c r="N34" s="18">
        <f t="shared" si="12"/>
        <v>3430</v>
      </c>
      <c r="O34" s="52">
        <f t="shared" si="13"/>
        <v>41160</v>
      </c>
    </row>
    <row r="35" spans="1:29">
      <c r="B35" s="5" t="s">
        <v>36</v>
      </c>
      <c r="C35" s="18">
        <f>347173/12</f>
        <v>28931.083333333332</v>
      </c>
      <c r="D35" s="18">
        <f t="shared" si="12"/>
        <v>28931.083333333332</v>
      </c>
      <c r="E35" s="18">
        <f t="shared" si="12"/>
        <v>28931.083333333332</v>
      </c>
      <c r="F35" s="18">
        <f t="shared" si="12"/>
        <v>28931.083333333332</v>
      </c>
      <c r="G35" s="18">
        <f t="shared" si="12"/>
        <v>28931.083333333332</v>
      </c>
      <c r="H35" s="18">
        <f t="shared" si="12"/>
        <v>28931.083333333332</v>
      </c>
      <c r="I35" s="18">
        <f t="shared" si="12"/>
        <v>28931.083333333332</v>
      </c>
      <c r="J35" s="18">
        <f t="shared" si="12"/>
        <v>28931.083333333332</v>
      </c>
      <c r="K35" s="18">
        <f t="shared" si="12"/>
        <v>28931.083333333332</v>
      </c>
      <c r="L35" s="18">
        <f t="shared" si="12"/>
        <v>28931.083333333332</v>
      </c>
      <c r="M35" s="18">
        <f t="shared" si="12"/>
        <v>28931.083333333332</v>
      </c>
      <c r="N35" s="18">
        <f t="shared" si="12"/>
        <v>28931.083333333332</v>
      </c>
      <c r="O35" s="52">
        <f t="shared" si="13"/>
        <v>347173</v>
      </c>
    </row>
    <row r="36" spans="1:29">
      <c r="A36" t="s">
        <v>20</v>
      </c>
      <c r="B36" s="9" t="s">
        <v>44</v>
      </c>
      <c r="C36" s="19">
        <f t="shared" ref="C36:O36" si="14">SUM(C28:C35)</f>
        <v>41034.25</v>
      </c>
      <c r="D36" s="19">
        <f t="shared" si="14"/>
        <v>41034.25</v>
      </c>
      <c r="E36" s="19">
        <f t="shared" si="14"/>
        <v>41034.25</v>
      </c>
      <c r="F36" s="19">
        <f t="shared" si="14"/>
        <v>41034.25</v>
      </c>
      <c r="G36" s="19">
        <f t="shared" si="14"/>
        <v>41034.25</v>
      </c>
      <c r="H36" s="19">
        <f t="shared" si="14"/>
        <v>41034.25</v>
      </c>
      <c r="I36" s="19">
        <f t="shared" si="14"/>
        <v>41034.25</v>
      </c>
      <c r="J36" s="19">
        <f t="shared" si="14"/>
        <v>41034.25</v>
      </c>
      <c r="K36" s="19">
        <f t="shared" si="14"/>
        <v>41034.25</v>
      </c>
      <c r="L36" s="19">
        <f t="shared" si="14"/>
        <v>41034.25</v>
      </c>
      <c r="M36" s="19">
        <f t="shared" si="14"/>
        <v>41034.25</v>
      </c>
      <c r="N36" s="19">
        <f t="shared" si="14"/>
        <v>41034.25</v>
      </c>
      <c r="O36" s="53">
        <f t="shared" si="14"/>
        <v>492411</v>
      </c>
    </row>
    <row r="37" spans="1:29">
      <c r="B37" s="9"/>
      <c r="O37" s="54"/>
    </row>
    <row r="38" spans="1:29" ht="15.75" thickBot="1">
      <c r="A38" t="s">
        <v>75</v>
      </c>
      <c r="B38" s="9" t="s">
        <v>66</v>
      </c>
      <c r="C38" s="38">
        <f>C36+C25+C14</f>
        <v>449779.83333333326</v>
      </c>
      <c r="D38" s="38">
        <f t="shared" ref="D38:O38" si="15">D36+D25+D14</f>
        <v>449779.83333333326</v>
      </c>
      <c r="E38" s="38">
        <f t="shared" si="15"/>
        <v>449779.83333333326</v>
      </c>
      <c r="F38" s="21">
        <f t="shared" si="15"/>
        <v>449779.83333333326</v>
      </c>
      <c r="G38" s="21">
        <f t="shared" si="15"/>
        <v>449779.83333333326</v>
      </c>
      <c r="H38" s="21">
        <f t="shared" si="15"/>
        <v>449779.83333333326</v>
      </c>
      <c r="I38" s="21">
        <f t="shared" si="15"/>
        <v>449779.83333333326</v>
      </c>
      <c r="J38" s="21">
        <f t="shared" si="15"/>
        <v>449779.83333333326</v>
      </c>
      <c r="K38" s="21">
        <f t="shared" si="15"/>
        <v>449779.83333333326</v>
      </c>
      <c r="L38" s="21">
        <f t="shared" si="15"/>
        <v>449779.83333333326</v>
      </c>
      <c r="M38" s="21">
        <f t="shared" si="15"/>
        <v>449779.83333333326</v>
      </c>
      <c r="N38" s="21">
        <f t="shared" si="15"/>
        <v>449779.83333333326</v>
      </c>
      <c r="O38" s="55">
        <f t="shared" si="15"/>
        <v>5397358</v>
      </c>
    </row>
    <row r="39" spans="1:29" ht="15.75" thickTop="1">
      <c r="B39" s="9"/>
      <c r="O39" s="54"/>
    </row>
    <row r="40" spans="1:29">
      <c r="B40" s="30" t="s">
        <v>67</v>
      </c>
      <c r="F40" s="18"/>
      <c r="G40" s="18"/>
      <c r="H40" s="18"/>
      <c r="I40" s="18"/>
      <c r="J40" s="18"/>
      <c r="K40" s="18"/>
      <c r="L40" s="18"/>
      <c r="M40" s="18"/>
      <c r="N40" s="18"/>
      <c r="O40" s="5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31</v>
      </c>
      <c r="C41" s="20">
        <v>184726.78</v>
      </c>
      <c r="D41" s="18">
        <v>107234.5</v>
      </c>
      <c r="E41" s="18">
        <v>161384.78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ref="O41:O47" si="16">SUM(C41:N41)</f>
        <v>453346.06000000006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32</v>
      </c>
      <c r="C42" s="18">
        <v>367497.79000000004</v>
      </c>
      <c r="D42" s="18">
        <v>243858.84</v>
      </c>
      <c r="E42" s="18">
        <v>158793.24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6"/>
        <v>770149.87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>
      <c r="B43" s="31" t="s">
        <v>97</v>
      </c>
      <c r="C43" s="18">
        <v>0</v>
      </c>
      <c r="D43" s="18">
        <v>0</v>
      </c>
      <c r="E43" s="18">
        <v>39754.06</v>
      </c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6"/>
        <v>39754.06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33</v>
      </c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6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idden="1">
      <c r="B45" s="31" t="s">
        <v>34</v>
      </c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6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hidden="1">
      <c r="B46" s="31" t="s">
        <v>35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si="16"/>
        <v>0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idden="1">
      <c r="B47" s="31" t="s">
        <v>36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6"/>
        <v>0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38</v>
      </c>
      <c r="C48" s="19">
        <f>SUM(C41:C47)</f>
        <v>552224.57000000007</v>
      </c>
      <c r="D48" s="19">
        <f t="shared" ref="D48:N48" si="17">SUM(D41:D47)</f>
        <v>351093.33999999997</v>
      </c>
      <c r="E48" s="19">
        <f t="shared" si="17"/>
        <v>359932.08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SUM(O41:O47)</f>
        <v>1263249.9900000002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>
      <c r="B50" s="30" t="s">
        <v>68</v>
      </c>
      <c r="F50" s="18"/>
      <c r="G50" s="18"/>
      <c r="H50" s="18"/>
      <c r="I50" s="18"/>
      <c r="J50" s="18"/>
      <c r="K50" s="18"/>
      <c r="L50" s="18"/>
      <c r="M50" s="18"/>
      <c r="N50" s="18"/>
      <c r="O50" s="56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>
      <c r="B51" s="31" t="s">
        <v>31</v>
      </c>
      <c r="C51" s="20">
        <v>3568.28</v>
      </c>
      <c r="D51" s="18">
        <v>5419.8499999999995</v>
      </c>
      <c r="E51" s="18">
        <v>4181.58</v>
      </c>
      <c r="F51" s="18"/>
      <c r="G51" s="18"/>
      <c r="H51" s="18"/>
      <c r="I51" s="18"/>
      <c r="J51" s="18"/>
      <c r="K51" s="18"/>
      <c r="L51" s="18"/>
      <c r="M51" s="18"/>
      <c r="N51" s="18"/>
      <c r="O51" s="52">
        <f t="shared" ref="O51:O58" si="18">SUM(C51:N51)</f>
        <v>13169.71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1" t="s">
        <v>32</v>
      </c>
      <c r="C52" s="18">
        <v>3147.7</v>
      </c>
      <c r="D52" s="18">
        <v>4826.67</v>
      </c>
      <c r="E52" s="18">
        <v>21158.410000000003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18"/>
        <v>29132.780000000002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1" t="s">
        <v>97</v>
      </c>
      <c r="C53" s="18">
        <v>1200.82</v>
      </c>
      <c r="D53" s="18">
        <v>43.379999999999995</v>
      </c>
      <c r="E53" s="18">
        <v>594.73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18"/>
        <v>1838.9299999999998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hidden="1">
      <c r="B54" s="31" t="s">
        <v>33</v>
      </c>
      <c r="C54" s="18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18"/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hidden="1">
      <c r="B55" s="31" t="s">
        <v>34</v>
      </c>
      <c r="C55" s="18"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52">
        <f t="shared" si="18"/>
        <v>0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1" t="s">
        <v>35</v>
      </c>
      <c r="C56" s="18">
        <v>0</v>
      </c>
      <c r="D56" s="18">
        <v>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52">
        <f t="shared" si="18"/>
        <v>0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>
      <c r="B57" s="31" t="s">
        <v>99</v>
      </c>
      <c r="C57" s="18">
        <v>18951.16</v>
      </c>
      <c r="D57" s="18">
        <v>8093.52</v>
      </c>
      <c r="E57" s="18">
        <v>12923.15</v>
      </c>
      <c r="F57" s="18"/>
      <c r="G57" s="18"/>
      <c r="H57" s="18"/>
      <c r="I57" s="18"/>
      <c r="J57" s="18"/>
      <c r="K57" s="18"/>
      <c r="L57" s="18"/>
      <c r="M57" s="18"/>
      <c r="N57" s="18"/>
      <c r="O57" s="52">
        <f t="shared" ref="O57" si="19">SUM(C57:N57)</f>
        <v>39967.83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>
      <c r="B58" s="31" t="s">
        <v>36</v>
      </c>
      <c r="C58" s="18">
        <v>44617.23</v>
      </c>
      <c r="D58" s="18">
        <v>51465.09</v>
      </c>
      <c r="E58" s="18">
        <v>59919.659999999996</v>
      </c>
      <c r="F58" s="18"/>
      <c r="G58" s="18"/>
      <c r="H58" s="18"/>
      <c r="I58" s="18"/>
      <c r="J58" s="18"/>
      <c r="K58" s="18"/>
      <c r="L58" s="18"/>
      <c r="M58" s="18"/>
      <c r="N58" s="18"/>
      <c r="O58" s="52">
        <f t="shared" si="18"/>
        <v>156001.98000000001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>
      <c r="A59" t="s">
        <v>76</v>
      </c>
      <c r="B59" s="30" t="s">
        <v>69</v>
      </c>
      <c r="C59" s="19">
        <f t="shared" ref="C59:N59" si="20">SUM(C51:C58)</f>
        <v>71485.19</v>
      </c>
      <c r="D59" s="19">
        <f t="shared" si="20"/>
        <v>69848.509999999995</v>
      </c>
      <c r="E59" s="19">
        <f t="shared" si="20"/>
        <v>98777.53</v>
      </c>
      <c r="F59" s="19">
        <f t="shared" si="20"/>
        <v>0</v>
      </c>
      <c r="G59" s="19">
        <f t="shared" si="20"/>
        <v>0</v>
      </c>
      <c r="H59" s="19">
        <f t="shared" si="20"/>
        <v>0</v>
      </c>
      <c r="I59" s="19">
        <f t="shared" si="20"/>
        <v>0</v>
      </c>
      <c r="J59" s="19">
        <f t="shared" si="20"/>
        <v>0</v>
      </c>
      <c r="K59" s="19">
        <f t="shared" si="20"/>
        <v>0</v>
      </c>
      <c r="L59" s="19">
        <f t="shared" si="20"/>
        <v>0</v>
      </c>
      <c r="M59" s="19">
        <f t="shared" si="20"/>
        <v>0</v>
      </c>
      <c r="N59" s="19">
        <f t="shared" si="20"/>
        <v>0</v>
      </c>
      <c r="O59" s="53">
        <f>SUM(O51:O58)</f>
        <v>240111.23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>
      <c r="B60" s="30"/>
      <c r="F60" s="18"/>
      <c r="G60" s="18"/>
      <c r="H60" s="18"/>
      <c r="I60" s="18"/>
      <c r="J60" s="18"/>
      <c r="K60" s="18"/>
      <c r="L60" s="18"/>
      <c r="M60" s="18"/>
      <c r="N60" s="18"/>
      <c r="O60" s="56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B61" s="30" t="s">
        <v>70</v>
      </c>
      <c r="F61" s="18"/>
      <c r="G61" s="18"/>
      <c r="H61" s="18"/>
      <c r="I61" s="18"/>
      <c r="J61" s="18"/>
      <c r="K61" s="18"/>
      <c r="L61" s="18"/>
      <c r="M61" s="18"/>
      <c r="N61" s="18"/>
      <c r="O61" s="56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1" t="s">
        <v>31</v>
      </c>
      <c r="C62" s="20">
        <v>2991.4</v>
      </c>
      <c r="D62" s="18">
        <v>3215.5699999999997</v>
      </c>
      <c r="E62" s="18">
        <v>3786.73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ref="O62:O69" si="21">SUM(C62:N62)</f>
        <v>9993.6999999999989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1" t="s">
        <v>32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1"/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1" t="s">
        <v>97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1"/>
        <v>0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1" t="s">
        <v>33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>
        <f t="shared" si="21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1" t="s">
        <v>34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52">
        <f t="shared" si="21"/>
        <v>0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>
      <c r="B67" s="31" t="s">
        <v>35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>
        <f t="shared" si="21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>
      <c r="B68" s="31" t="s">
        <v>99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52">
        <f t="shared" si="21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1" t="s">
        <v>36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52">
        <f t="shared" si="21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A70" t="s">
        <v>77</v>
      </c>
      <c r="B70" s="30" t="s">
        <v>39</v>
      </c>
      <c r="C70" s="19">
        <f t="shared" ref="C70:O70" si="22">SUM(C62:C69)</f>
        <v>2991.4</v>
      </c>
      <c r="D70" s="19">
        <f t="shared" si="22"/>
        <v>3215.5699999999997</v>
      </c>
      <c r="E70" s="19">
        <f t="shared" si="22"/>
        <v>3786.73</v>
      </c>
      <c r="F70" s="19">
        <f t="shared" si="22"/>
        <v>0</v>
      </c>
      <c r="G70" s="19">
        <f t="shared" si="22"/>
        <v>0</v>
      </c>
      <c r="H70" s="19">
        <f t="shared" si="22"/>
        <v>0</v>
      </c>
      <c r="I70" s="19">
        <f t="shared" si="22"/>
        <v>0</v>
      </c>
      <c r="J70" s="19">
        <f t="shared" si="22"/>
        <v>0</v>
      </c>
      <c r="K70" s="19">
        <f t="shared" si="22"/>
        <v>0</v>
      </c>
      <c r="L70" s="19">
        <f t="shared" si="22"/>
        <v>0</v>
      </c>
      <c r="M70" s="19">
        <f t="shared" si="22"/>
        <v>0</v>
      </c>
      <c r="N70" s="19">
        <f t="shared" si="22"/>
        <v>0</v>
      </c>
      <c r="O70" s="53">
        <f t="shared" si="22"/>
        <v>9993.6999999999989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0"/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ht="15.75" thickBot="1">
      <c r="A72" t="s">
        <v>78</v>
      </c>
      <c r="B72" s="30" t="s">
        <v>71</v>
      </c>
      <c r="C72" s="38">
        <f>C70+C59+C48</f>
        <v>626701.16</v>
      </c>
      <c r="D72" s="38">
        <f t="shared" ref="D72:O72" si="23">D70+D59+D48</f>
        <v>424157.41999999993</v>
      </c>
      <c r="E72" s="38">
        <f t="shared" si="23"/>
        <v>462496.34</v>
      </c>
      <c r="F72" s="21">
        <f t="shared" si="23"/>
        <v>0</v>
      </c>
      <c r="G72" s="21">
        <f t="shared" si="23"/>
        <v>0</v>
      </c>
      <c r="H72" s="21">
        <f t="shared" si="23"/>
        <v>0</v>
      </c>
      <c r="I72" s="21">
        <f t="shared" si="23"/>
        <v>0</v>
      </c>
      <c r="J72" s="21">
        <f t="shared" si="23"/>
        <v>0</v>
      </c>
      <c r="K72" s="21">
        <f t="shared" si="23"/>
        <v>0</v>
      </c>
      <c r="L72" s="21">
        <f t="shared" si="23"/>
        <v>0</v>
      </c>
      <c r="M72" s="21">
        <f t="shared" si="23"/>
        <v>0</v>
      </c>
      <c r="N72" s="21">
        <f t="shared" si="23"/>
        <v>0</v>
      </c>
      <c r="O72" s="55">
        <f t="shared" si="23"/>
        <v>1513354.9200000002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ht="15.75" thickTop="1">
      <c r="B73" s="32"/>
      <c r="F73" s="18"/>
      <c r="G73" s="18"/>
      <c r="H73" s="18"/>
      <c r="I73" s="18"/>
      <c r="J73" s="18"/>
      <c r="K73" s="18"/>
      <c r="L73" s="18"/>
      <c r="M73" s="18"/>
      <c r="N73" s="18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>
      <c r="B74" s="33" t="s">
        <v>40</v>
      </c>
      <c r="F74" s="18"/>
      <c r="G74" s="18"/>
      <c r="H74" s="18"/>
      <c r="I74" s="18"/>
      <c r="J74" s="18"/>
      <c r="K74" s="18"/>
      <c r="L74" s="18"/>
      <c r="M74" s="18"/>
      <c r="N74" s="18"/>
      <c r="O74" s="56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>
      <c r="B75" s="33" t="s">
        <v>72</v>
      </c>
      <c r="F75" s="18"/>
      <c r="G75" s="18"/>
      <c r="H75" s="18"/>
      <c r="I75" s="18"/>
      <c r="J75" s="18"/>
      <c r="K75" s="18"/>
      <c r="L75" s="18"/>
      <c r="M75" s="18"/>
      <c r="N75" s="18"/>
      <c r="O75" s="56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4" t="s">
        <v>31</v>
      </c>
      <c r="C76" s="20">
        <f t="shared" ref="C76:C83" si="24">C7-C41</f>
        <v>-27690.53</v>
      </c>
      <c r="D76" s="20">
        <f t="shared" ref="D76:E76" si="25">D7-D41</f>
        <v>49801.75</v>
      </c>
      <c r="E76" s="20">
        <f t="shared" si="25"/>
        <v>-4348.5299999999988</v>
      </c>
      <c r="F76" s="20">
        <f t="shared" ref="F76:G76" si="26">F7-F41</f>
        <v>157036.25</v>
      </c>
      <c r="G76" s="20">
        <f t="shared" si="26"/>
        <v>157036.25</v>
      </c>
      <c r="H76" s="20">
        <f t="shared" ref="H76:I76" si="27">H7-H41</f>
        <v>157036.25</v>
      </c>
      <c r="I76" s="20">
        <f t="shared" si="27"/>
        <v>157036.25</v>
      </c>
      <c r="J76" s="20">
        <f t="shared" ref="J76:K76" si="28">J7-J41</f>
        <v>157036.25</v>
      </c>
      <c r="K76" s="20">
        <f t="shared" si="28"/>
        <v>157036.25</v>
      </c>
      <c r="L76" s="20">
        <f t="shared" ref="L76:N76" si="29">L7-L41</f>
        <v>157036.25</v>
      </c>
      <c r="M76" s="20">
        <f t="shared" si="29"/>
        <v>157036.25</v>
      </c>
      <c r="N76" s="20">
        <f t="shared" si="29"/>
        <v>157036.25</v>
      </c>
      <c r="O76" s="52">
        <f t="shared" ref="O76:O82" si="30">SUM(C76:N76)</f>
        <v>1431088.94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4" t="s">
        <v>32</v>
      </c>
      <c r="C77" s="20">
        <f t="shared" si="24"/>
        <v>-219852.62333333338</v>
      </c>
      <c r="D77" s="20">
        <f t="shared" ref="D77:E83" si="31">D8-D42</f>
        <v>-96213.67333333334</v>
      </c>
      <c r="E77" s="20">
        <f t="shared" si="31"/>
        <v>-11148.073333333334</v>
      </c>
      <c r="F77" s="20">
        <f t="shared" ref="F77:G77" si="32">F8-F42</f>
        <v>147645.16666666666</v>
      </c>
      <c r="G77" s="20">
        <f t="shared" si="32"/>
        <v>147645.16666666666</v>
      </c>
      <c r="H77" s="20">
        <f t="shared" ref="H77:I77" si="33">H8-H42</f>
        <v>147645.16666666666</v>
      </c>
      <c r="I77" s="20">
        <f t="shared" si="33"/>
        <v>147645.16666666666</v>
      </c>
      <c r="J77" s="20">
        <f t="shared" ref="J77:K77" si="34">J8-J42</f>
        <v>147645.16666666666</v>
      </c>
      <c r="K77" s="20">
        <f t="shared" si="34"/>
        <v>147645.16666666666</v>
      </c>
      <c r="L77" s="20">
        <f t="shared" ref="L77:N77" si="35">L8-L42</f>
        <v>147645.16666666666</v>
      </c>
      <c r="M77" s="20">
        <f t="shared" si="35"/>
        <v>147645.16666666666</v>
      </c>
      <c r="N77" s="20">
        <f t="shared" si="35"/>
        <v>147645.16666666666</v>
      </c>
      <c r="O77" s="52">
        <f t="shared" si="30"/>
        <v>1001592.1299999997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34" t="s">
        <v>97</v>
      </c>
      <c r="C78" s="20">
        <f t="shared" si="24"/>
        <v>60336</v>
      </c>
      <c r="D78" s="20">
        <f t="shared" si="31"/>
        <v>60336</v>
      </c>
      <c r="E78" s="20">
        <f t="shared" si="31"/>
        <v>20581.940000000002</v>
      </c>
      <c r="F78" s="20">
        <f t="shared" ref="F78:G78" si="36">F9-F43</f>
        <v>60336</v>
      </c>
      <c r="G78" s="20">
        <f t="shared" si="36"/>
        <v>60336</v>
      </c>
      <c r="H78" s="20">
        <f t="shared" ref="H78:I78" si="37">H9-H43</f>
        <v>60336</v>
      </c>
      <c r="I78" s="20">
        <f t="shared" si="37"/>
        <v>60336</v>
      </c>
      <c r="J78" s="20">
        <f t="shared" ref="J78:K78" si="38">J9-J43</f>
        <v>60336</v>
      </c>
      <c r="K78" s="20">
        <f t="shared" si="38"/>
        <v>60336</v>
      </c>
      <c r="L78" s="20">
        <f t="shared" ref="L78:N78" si="39">L9-L43</f>
        <v>60336</v>
      </c>
      <c r="M78" s="20">
        <f t="shared" si="39"/>
        <v>60336</v>
      </c>
      <c r="N78" s="20">
        <f t="shared" si="39"/>
        <v>60336</v>
      </c>
      <c r="O78" s="52">
        <f t="shared" si="30"/>
        <v>684277.94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hidden="1">
      <c r="B79" s="34" t="s">
        <v>33</v>
      </c>
      <c r="C79" s="20">
        <f t="shared" si="24"/>
        <v>0</v>
      </c>
      <c r="D79" s="20">
        <f t="shared" si="31"/>
        <v>0</v>
      </c>
      <c r="E79" s="20">
        <f t="shared" si="31"/>
        <v>0</v>
      </c>
      <c r="F79" s="20">
        <f t="shared" ref="F79:G79" si="40">F10-F44</f>
        <v>0</v>
      </c>
      <c r="G79" s="20">
        <f t="shared" si="40"/>
        <v>0</v>
      </c>
      <c r="H79" s="20">
        <f t="shared" ref="H79:I79" si="41">H10-H44</f>
        <v>0</v>
      </c>
      <c r="I79" s="20">
        <f t="shared" si="41"/>
        <v>0</v>
      </c>
      <c r="J79" s="20">
        <f t="shared" ref="J79:K79" si="42">J10-J44</f>
        <v>0</v>
      </c>
      <c r="K79" s="20">
        <f t="shared" si="42"/>
        <v>0</v>
      </c>
      <c r="L79" s="20">
        <f t="shared" ref="L79:N79" si="43">L10-L44</f>
        <v>0</v>
      </c>
      <c r="M79" s="20">
        <f t="shared" si="43"/>
        <v>0</v>
      </c>
      <c r="N79" s="20">
        <f t="shared" si="43"/>
        <v>0</v>
      </c>
      <c r="O79" s="52">
        <f t="shared" si="30"/>
        <v>0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hidden="1">
      <c r="B80" s="34" t="s">
        <v>34</v>
      </c>
      <c r="C80" s="20">
        <f t="shared" si="24"/>
        <v>0</v>
      </c>
      <c r="D80" s="20">
        <f t="shared" si="31"/>
        <v>0</v>
      </c>
      <c r="E80" s="20">
        <f t="shared" si="31"/>
        <v>0</v>
      </c>
      <c r="F80" s="20">
        <f t="shared" ref="F80:G80" si="44">F11-F45</f>
        <v>0</v>
      </c>
      <c r="G80" s="20">
        <f t="shared" si="44"/>
        <v>0</v>
      </c>
      <c r="H80" s="20">
        <f t="shared" ref="H80:I80" si="45">H11-H45</f>
        <v>0</v>
      </c>
      <c r="I80" s="20">
        <f t="shared" si="45"/>
        <v>0</v>
      </c>
      <c r="J80" s="20">
        <f t="shared" ref="J80:K80" si="46">J11-J45</f>
        <v>0</v>
      </c>
      <c r="K80" s="20">
        <f t="shared" si="46"/>
        <v>0</v>
      </c>
      <c r="L80" s="20">
        <f t="shared" ref="L80:N80" si="47">L11-L45</f>
        <v>0</v>
      </c>
      <c r="M80" s="20">
        <f t="shared" si="47"/>
        <v>0</v>
      </c>
      <c r="N80" s="20">
        <f t="shared" si="47"/>
        <v>0</v>
      </c>
      <c r="O80" s="52">
        <f t="shared" si="30"/>
        <v>0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hidden="1">
      <c r="B81" s="34" t="s">
        <v>35</v>
      </c>
      <c r="C81" s="20">
        <f t="shared" si="24"/>
        <v>0</v>
      </c>
      <c r="D81" s="20">
        <f t="shared" si="31"/>
        <v>0</v>
      </c>
      <c r="E81" s="20">
        <f t="shared" si="31"/>
        <v>0</v>
      </c>
      <c r="F81" s="20">
        <f t="shared" ref="F81:G81" si="48">F12-F46</f>
        <v>0</v>
      </c>
      <c r="G81" s="20">
        <f t="shared" si="48"/>
        <v>0</v>
      </c>
      <c r="H81" s="20">
        <f t="shared" ref="H81:I81" si="49">H12-H46</f>
        <v>0</v>
      </c>
      <c r="I81" s="20">
        <f t="shared" si="49"/>
        <v>0</v>
      </c>
      <c r="J81" s="20">
        <f t="shared" ref="J81:K81" si="50">J12-J46</f>
        <v>0</v>
      </c>
      <c r="K81" s="20">
        <f t="shared" si="50"/>
        <v>0</v>
      </c>
      <c r="L81" s="20">
        <f t="shared" ref="L81:N81" si="51">L12-L46</f>
        <v>0</v>
      </c>
      <c r="M81" s="20">
        <f t="shared" si="51"/>
        <v>0</v>
      </c>
      <c r="N81" s="20">
        <f t="shared" si="51"/>
        <v>0</v>
      </c>
      <c r="O81" s="52">
        <f t="shared" si="30"/>
        <v>0</v>
      </c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hidden="1">
      <c r="B82" s="34" t="s">
        <v>36</v>
      </c>
      <c r="C82" s="20">
        <f t="shared" si="24"/>
        <v>0</v>
      </c>
      <c r="D82" s="20">
        <f t="shared" si="31"/>
        <v>0</v>
      </c>
      <c r="E82" s="20">
        <f t="shared" si="31"/>
        <v>0</v>
      </c>
      <c r="F82" s="20">
        <f t="shared" ref="F82:G82" si="52">F13-F47</f>
        <v>0</v>
      </c>
      <c r="G82" s="20">
        <f t="shared" si="52"/>
        <v>0</v>
      </c>
      <c r="H82" s="20">
        <f t="shared" ref="H82:I82" si="53">H13-H47</f>
        <v>0</v>
      </c>
      <c r="I82" s="20">
        <f t="shared" si="53"/>
        <v>0</v>
      </c>
      <c r="J82" s="20">
        <f t="shared" ref="J82:K82" si="54">J13-J47</f>
        <v>0</v>
      </c>
      <c r="K82" s="20">
        <f t="shared" si="54"/>
        <v>0</v>
      </c>
      <c r="L82" s="20">
        <f t="shared" ref="L82:N82" si="55">L13-L47</f>
        <v>0</v>
      </c>
      <c r="M82" s="20">
        <f t="shared" si="55"/>
        <v>0</v>
      </c>
      <c r="N82" s="20">
        <f t="shared" si="55"/>
        <v>0</v>
      </c>
      <c r="O82" s="52">
        <f t="shared" si="30"/>
        <v>0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A83" t="s">
        <v>79</v>
      </c>
      <c r="B83" s="33" t="s">
        <v>41</v>
      </c>
      <c r="C83" s="19">
        <f t="shared" si="24"/>
        <v>-187207.15333333344</v>
      </c>
      <c r="D83" s="19">
        <f t="shared" si="31"/>
        <v>13924.07666666666</v>
      </c>
      <c r="E83" s="19">
        <f t="shared" si="31"/>
        <v>5085.3366666666116</v>
      </c>
      <c r="F83" s="19">
        <f t="shared" ref="F83:G83" si="56">F14-F48</f>
        <v>365017.41666666663</v>
      </c>
      <c r="G83" s="19">
        <f t="shared" si="56"/>
        <v>365017.41666666663</v>
      </c>
      <c r="H83" s="19">
        <f t="shared" ref="H83:I83" si="57">H14-H48</f>
        <v>365017.41666666663</v>
      </c>
      <c r="I83" s="19">
        <f t="shared" si="57"/>
        <v>365017.41666666663</v>
      </c>
      <c r="J83" s="19">
        <f t="shared" ref="J83:K83" si="58">J14-J48</f>
        <v>365017.41666666663</v>
      </c>
      <c r="K83" s="19">
        <f t="shared" si="58"/>
        <v>365017.41666666663</v>
      </c>
      <c r="L83" s="19">
        <f t="shared" ref="L83:N83" si="59">L14-L48</f>
        <v>365017.41666666663</v>
      </c>
      <c r="M83" s="19">
        <f t="shared" si="59"/>
        <v>365017.41666666663</v>
      </c>
      <c r="N83" s="19">
        <f t="shared" si="59"/>
        <v>365017.41666666663</v>
      </c>
      <c r="O83" s="53">
        <f t="shared" ref="O83" si="60">SUM(O76:O82)</f>
        <v>3116959.0099999993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>
      <c r="B84" s="33"/>
      <c r="F84" s="20"/>
      <c r="G84" s="20"/>
      <c r="H84" s="20"/>
      <c r="I84" s="20"/>
      <c r="J84" s="20"/>
      <c r="K84" s="20"/>
      <c r="L84" s="20"/>
      <c r="M84" s="20"/>
      <c r="N84" s="20"/>
      <c r="O84" s="56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>
      <c r="B85" s="33" t="s">
        <v>73</v>
      </c>
      <c r="F85" s="20"/>
      <c r="G85" s="20"/>
      <c r="H85" s="20"/>
      <c r="I85" s="20"/>
      <c r="J85" s="20"/>
      <c r="K85" s="20"/>
      <c r="L85" s="20"/>
      <c r="M85" s="20"/>
      <c r="N85" s="20"/>
      <c r="O85" s="52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>
      <c r="B86" s="34" t="s">
        <v>31</v>
      </c>
      <c r="C86" s="20">
        <f t="shared" ref="C86:E94" si="61">C17-C51</f>
        <v>-1544.4466666666669</v>
      </c>
      <c r="D86" s="20">
        <f t="shared" si="61"/>
        <v>-3396.0166666666664</v>
      </c>
      <c r="E86" s="20">
        <f t="shared" si="61"/>
        <v>-2157.7466666666669</v>
      </c>
      <c r="F86" s="20">
        <f t="shared" ref="F86:G86" si="62">F17-F51</f>
        <v>2023.8333333333333</v>
      </c>
      <c r="G86" s="20">
        <f t="shared" si="62"/>
        <v>2023.8333333333333</v>
      </c>
      <c r="H86" s="20">
        <f t="shared" ref="H86:I86" si="63">H17-H51</f>
        <v>2023.8333333333333</v>
      </c>
      <c r="I86" s="20">
        <f t="shared" si="63"/>
        <v>2023.8333333333333</v>
      </c>
      <c r="J86" s="20">
        <f t="shared" ref="J86:K86" si="64">J17-J51</f>
        <v>2023.8333333333333</v>
      </c>
      <c r="K86" s="20">
        <f t="shared" si="64"/>
        <v>2023.8333333333333</v>
      </c>
      <c r="L86" s="20">
        <f t="shared" ref="L86:N86" si="65">L17-L51</f>
        <v>2023.8333333333333</v>
      </c>
      <c r="M86" s="20">
        <f t="shared" si="65"/>
        <v>2023.8333333333333</v>
      </c>
      <c r="N86" s="20">
        <f t="shared" si="65"/>
        <v>2023.8333333333333</v>
      </c>
      <c r="O86" s="52">
        <f t="shared" ref="O86:O93" si="66">SUM(C86:N86)</f>
        <v>11116.289999999999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>
      <c r="B87" s="34" t="s">
        <v>32</v>
      </c>
      <c r="C87" s="20">
        <f t="shared" si="61"/>
        <v>-1928.7833333333331</v>
      </c>
      <c r="D87" s="20">
        <f t="shared" si="61"/>
        <v>-3607.7533333333331</v>
      </c>
      <c r="E87" s="20">
        <f t="shared" si="61"/>
        <v>-19939.493333333336</v>
      </c>
      <c r="F87" s="20">
        <f t="shared" ref="F87:G87" si="67">F18-F52</f>
        <v>1218.9166666666667</v>
      </c>
      <c r="G87" s="20">
        <f t="shared" si="67"/>
        <v>1218.9166666666667</v>
      </c>
      <c r="H87" s="20">
        <f t="shared" ref="H87:I87" si="68">H18-H52</f>
        <v>1218.9166666666667</v>
      </c>
      <c r="I87" s="20">
        <f t="shared" si="68"/>
        <v>1218.9166666666667</v>
      </c>
      <c r="J87" s="20">
        <f t="shared" ref="J87:K87" si="69">J18-J52</f>
        <v>1218.9166666666667</v>
      </c>
      <c r="K87" s="20">
        <f t="shared" si="69"/>
        <v>1218.9166666666667</v>
      </c>
      <c r="L87" s="20">
        <f t="shared" ref="L87:N87" si="70">L18-L52</f>
        <v>1218.9166666666667</v>
      </c>
      <c r="M87" s="20">
        <f t="shared" si="70"/>
        <v>1218.9166666666667</v>
      </c>
      <c r="N87" s="20">
        <f t="shared" si="70"/>
        <v>1218.9166666666667</v>
      </c>
      <c r="O87" s="52">
        <f t="shared" si="66"/>
        <v>-14505.779999999995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B88" s="34" t="s">
        <v>97</v>
      </c>
      <c r="C88" s="20">
        <f t="shared" si="61"/>
        <v>7849.5966666666664</v>
      </c>
      <c r="D88" s="20">
        <f t="shared" si="61"/>
        <v>9007.0366666666669</v>
      </c>
      <c r="E88" s="20">
        <f t="shared" si="61"/>
        <v>8455.6866666666665</v>
      </c>
      <c r="F88" s="20">
        <f t="shared" ref="F88:G88" si="71">F19-F53</f>
        <v>9050.4166666666661</v>
      </c>
      <c r="G88" s="20">
        <f t="shared" si="71"/>
        <v>9050.4166666666661</v>
      </c>
      <c r="H88" s="20">
        <f t="shared" ref="H88:I88" si="72">H19-H53</f>
        <v>9050.4166666666661</v>
      </c>
      <c r="I88" s="20">
        <f t="shared" si="72"/>
        <v>9050.4166666666661</v>
      </c>
      <c r="J88" s="20">
        <f t="shared" ref="J88:K88" si="73">J19-J53</f>
        <v>9050.4166666666661</v>
      </c>
      <c r="K88" s="20">
        <f t="shared" si="73"/>
        <v>9050.4166666666661</v>
      </c>
      <c r="L88" s="20">
        <f t="shared" ref="L88:N88" si="74">L19-L53</f>
        <v>9050.4166666666661</v>
      </c>
      <c r="M88" s="20">
        <f t="shared" si="74"/>
        <v>9050.4166666666661</v>
      </c>
      <c r="N88" s="20">
        <f t="shared" si="74"/>
        <v>9050.4166666666661</v>
      </c>
      <c r="O88" s="52">
        <f t="shared" si="66"/>
        <v>106766.07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hidden="1">
      <c r="B89" s="34" t="s">
        <v>33</v>
      </c>
      <c r="C89" s="20">
        <f t="shared" si="61"/>
        <v>0</v>
      </c>
      <c r="D89" s="20">
        <f t="shared" si="61"/>
        <v>0</v>
      </c>
      <c r="E89" s="20">
        <f t="shared" si="61"/>
        <v>0</v>
      </c>
      <c r="F89" s="20">
        <f t="shared" ref="F89:G89" si="75">F20-F54</f>
        <v>0</v>
      </c>
      <c r="G89" s="20">
        <f t="shared" si="75"/>
        <v>0</v>
      </c>
      <c r="H89" s="20">
        <f t="shared" ref="H89:I89" si="76">H20-H54</f>
        <v>0</v>
      </c>
      <c r="I89" s="20">
        <f t="shared" si="76"/>
        <v>0</v>
      </c>
      <c r="J89" s="20">
        <f t="shared" ref="J89:K89" si="77">J20-J54</f>
        <v>0</v>
      </c>
      <c r="K89" s="20">
        <f t="shared" si="77"/>
        <v>0</v>
      </c>
      <c r="L89" s="20">
        <f t="shared" ref="L89:N89" si="78">L20-L54</f>
        <v>0</v>
      </c>
      <c r="M89" s="20">
        <f t="shared" si="78"/>
        <v>0</v>
      </c>
      <c r="N89" s="20">
        <f t="shared" si="78"/>
        <v>0</v>
      </c>
      <c r="O89" s="52">
        <f t="shared" si="66"/>
        <v>0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hidden="1">
      <c r="B90" s="34" t="s">
        <v>34</v>
      </c>
      <c r="C90" s="20">
        <f t="shared" si="61"/>
        <v>0</v>
      </c>
      <c r="D90" s="20">
        <f t="shared" si="61"/>
        <v>0</v>
      </c>
      <c r="E90" s="20">
        <f t="shared" si="61"/>
        <v>0</v>
      </c>
      <c r="F90" s="20">
        <f t="shared" ref="F90:G90" si="79">F21-F55</f>
        <v>0</v>
      </c>
      <c r="G90" s="20">
        <f t="shared" si="79"/>
        <v>0</v>
      </c>
      <c r="H90" s="20">
        <f t="shared" ref="H90:I90" si="80">H21-H55</f>
        <v>0</v>
      </c>
      <c r="I90" s="20">
        <f t="shared" si="80"/>
        <v>0</v>
      </c>
      <c r="J90" s="20">
        <f t="shared" ref="J90:K90" si="81">J21-J55</f>
        <v>0</v>
      </c>
      <c r="K90" s="20">
        <f t="shared" si="81"/>
        <v>0</v>
      </c>
      <c r="L90" s="20">
        <f t="shared" ref="L90:N90" si="82">L21-L55</f>
        <v>0</v>
      </c>
      <c r="M90" s="20">
        <f t="shared" si="82"/>
        <v>0</v>
      </c>
      <c r="N90" s="20">
        <f t="shared" si="82"/>
        <v>0</v>
      </c>
      <c r="O90" s="52">
        <f t="shared" si="66"/>
        <v>0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B91" s="34" t="s">
        <v>35</v>
      </c>
      <c r="C91" s="20">
        <f t="shared" si="61"/>
        <v>0</v>
      </c>
      <c r="D91" s="20">
        <f t="shared" si="61"/>
        <v>0</v>
      </c>
      <c r="E91" s="20">
        <f t="shared" si="61"/>
        <v>0</v>
      </c>
      <c r="F91" s="20">
        <f t="shared" ref="F91:G92" si="83">F22-F56</f>
        <v>0</v>
      </c>
      <c r="G91" s="20">
        <f t="shared" si="83"/>
        <v>0</v>
      </c>
      <c r="H91" s="20">
        <f t="shared" ref="H91:I92" si="84">H22-H56</f>
        <v>0</v>
      </c>
      <c r="I91" s="20">
        <f t="shared" si="84"/>
        <v>0</v>
      </c>
      <c r="J91" s="20">
        <f t="shared" ref="J91:K92" si="85">J22-J56</f>
        <v>0</v>
      </c>
      <c r="K91" s="20">
        <f t="shared" si="85"/>
        <v>0</v>
      </c>
      <c r="L91" s="20">
        <f t="shared" ref="L91:N92" si="86">L22-L56</f>
        <v>0</v>
      </c>
      <c r="M91" s="20">
        <f t="shared" si="86"/>
        <v>0</v>
      </c>
      <c r="N91" s="20">
        <f t="shared" si="86"/>
        <v>0</v>
      </c>
      <c r="O91" s="52">
        <f t="shared" si="66"/>
        <v>0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B92" s="34" t="s">
        <v>99</v>
      </c>
      <c r="C92" s="20">
        <f t="shared" si="61"/>
        <v>357.17333333333227</v>
      </c>
      <c r="D92" s="20">
        <f t="shared" si="61"/>
        <v>11214.813333333332</v>
      </c>
      <c r="E92" s="20">
        <f t="shared" si="61"/>
        <v>6385.1833333333325</v>
      </c>
      <c r="F92" s="20">
        <f t="shared" si="83"/>
        <v>19308.333333333332</v>
      </c>
      <c r="G92" s="20">
        <f t="shared" si="83"/>
        <v>19308.333333333332</v>
      </c>
      <c r="H92" s="20">
        <f t="shared" si="84"/>
        <v>19308.333333333332</v>
      </c>
      <c r="I92" s="20">
        <f t="shared" si="84"/>
        <v>19308.333333333332</v>
      </c>
      <c r="J92" s="20">
        <f t="shared" si="85"/>
        <v>19308.333333333332</v>
      </c>
      <c r="K92" s="20">
        <f t="shared" si="85"/>
        <v>19308.333333333332</v>
      </c>
      <c r="L92" s="20">
        <f t="shared" si="86"/>
        <v>19308.333333333332</v>
      </c>
      <c r="M92" s="20">
        <f t="shared" si="86"/>
        <v>19308.333333333332</v>
      </c>
      <c r="N92" s="20">
        <f t="shared" si="86"/>
        <v>19308.333333333332</v>
      </c>
      <c r="O92" s="52">
        <f t="shared" ref="O92" si="87">SUM(C92:N92)</f>
        <v>191732.17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B93" s="34" t="s">
        <v>36</v>
      </c>
      <c r="C93" s="20">
        <f t="shared" si="61"/>
        <v>-32490.563333333339</v>
      </c>
      <c r="D93" s="20">
        <f t="shared" si="61"/>
        <v>-39338.423333333332</v>
      </c>
      <c r="E93" s="20">
        <f t="shared" si="61"/>
        <v>-47792.993333333332</v>
      </c>
      <c r="F93" s="20">
        <f t="shared" ref="F93:G93" si="88">F24-F58</f>
        <v>12126.666666666666</v>
      </c>
      <c r="G93" s="20">
        <f t="shared" si="88"/>
        <v>12126.666666666666</v>
      </c>
      <c r="H93" s="20">
        <f t="shared" ref="H93:I93" si="89">H24-H58</f>
        <v>12126.666666666666</v>
      </c>
      <c r="I93" s="20">
        <f t="shared" si="89"/>
        <v>12126.666666666666</v>
      </c>
      <c r="J93" s="20">
        <f t="shared" ref="J93:K93" si="90">J24-J58</f>
        <v>12126.666666666666</v>
      </c>
      <c r="K93" s="20">
        <f t="shared" si="90"/>
        <v>12126.666666666666</v>
      </c>
      <c r="L93" s="20">
        <f t="shared" ref="L93:N93" si="91">L24-L58</f>
        <v>12126.666666666666</v>
      </c>
      <c r="M93" s="20">
        <f t="shared" si="91"/>
        <v>12126.666666666666</v>
      </c>
      <c r="N93" s="20">
        <f t="shared" si="91"/>
        <v>12126.666666666666</v>
      </c>
      <c r="O93" s="52">
        <f t="shared" si="66"/>
        <v>-10481.979999999987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A94" t="s">
        <v>80</v>
      </c>
      <c r="B94" s="33" t="s">
        <v>41</v>
      </c>
      <c r="C94" s="19">
        <f t="shared" si="61"/>
        <v>-27757.023333333338</v>
      </c>
      <c r="D94" s="19">
        <f t="shared" si="61"/>
        <v>-26120.343333333331</v>
      </c>
      <c r="E94" s="19">
        <f t="shared" si="61"/>
        <v>-55049.363333333335</v>
      </c>
      <c r="F94" s="19">
        <f t="shared" ref="F94:G94" si="92">F25-F59</f>
        <v>43728.166666666664</v>
      </c>
      <c r="G94" s="19">
        <f t="shared" si="92"/>
        <v>43728.166666666664</v>
      </c>
      <c r="H94" s="19">
        <f t="shared" ref="H94:I94" si="93">H25-H59</f>
        <v>43728.166666666664</v>
      </c>
      <c r="I94" s="19">
        <f t="shared" si="93"/>
        <v>43728.166666666664</v>
      </c>
      <c r="J94" s="19">
        <f t="shared" ref="J94:K94" si="94">J25-J59</f>
        <v>43728.166666666664</v>
      </c>
      <c r="K94" s="19">
        <f t="shared" si="94"/>
        <v>43728.166666666664</v>
      </c>
      <c r="L94" s="19">
        <f t="shared" ref="L94:N94" si="95">L25-L59</f>
        <v>43728.166666666664</v>
      </c>
      <c r="M94" s="19">
        <f t="shared" si="95"/>
        <v>43728.166666666664</v>
      </c>
      <c r="N94" s="19">
        <f t="shared" si="95"/>
        <v>43728.166666666664</v>
      </c>
      <c r="O94" s="53">
        <f t="shared" ref="O94" si="96">SUM(O86:O93)</f>
        <v>284626.77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>
      <c r="B95" s="33"/>
      <c r="F95" s="20"/>
      <c r="G95" s="20"/>
      <c r="H95" s="20"/>
      <c r="I95" s="20"/>
      <c r="J95" s="20"/>
      <c r="K95" s="20"/>
      <c r="L95" s="20"/>
      <c r="M95" s="20"/>
      <c r="N95" s="20"/>
      <c r="O95" s="56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>
      <c r="B96" s="33" t="s">
        <v>74</v>
      </c>
      <c r="F96" s="20"/>
      <c r="G96" s="20"/>
      <c r="H96" s="20"/>
      <c r="I96" s="20"/>
      <c r="J96" s="20"/>
      <c r="K96" s="20"/>
      <c r="L96" s="20"/>
      <c r="M96" s="20"/>
      <c r="N96" s="20"/>
      <c r="O96" s="56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>
      <c r="B97" s="34" t="s">
        <v>31</v>
      </c>
      <c r="C97" s="20">
        <f t="shared" ref="C97:E105" si="97">C28-C62</f>
        <v>5180.9333333333325</v>
      </c>
      <c r="D97" s="20">
        <f t="shared" si="97"/>
        <v>4956.7633333333333</v>
      </c>
      <c r="E97" s="20">
        <f t="shared" si="97"/>
        <v>4385.6033333333326</v>
      </c>
      <c r="F97" s="20">
        <f t="shared" ref="F97:G97" si="98">F28-F62</f>
        <v>8172.333333333333</v>
      </c>
      <c r="G97" s="20">
        <f t="shared" si="98"/>
        <v>8172.333333333333</v>
      </c>
      <c r="H97" s="20">
        <f t="shared" ref="H97:I97" si="99">H28-H62</f>
        <v>8172.333333333333</v>
      </c>
      <c r="I97" s="20">
        <f t="shared" si="99"/>
        <v>8172.333333333333</v>
      </c>
      <c r="J97" s="20">
        <f t="shared" ref="J97:K97" si="100">J28-J62</f>
        <v>8172.333333333333</v>
      </c>
      <c r="K97" s="20">
        <f t="shared" si="100"/>
        <v>8172.333333333333</v>
      </c>
      <c r="L97" s="20">
        <f t="shared" ref="L97:N97" si="101">L28-L62</f>
        <v>8172.333333333333</v>
      </c>
      <c r="M97" s="20">
        <f t="shared" si="101"/>
        <v>8172.333333333333</v>
      </c>
      <c r="N97" s="20">
        <f t="shared" si="101"/>
        <v>8172.333333333333</v>
      </c>
      <c r="O97" s="52">
        <f t="shared" ref="O97:O104" si="102">SUM(C97:N97)</f>
        <v>88074.299999999988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B98" s="34" t="s">
        <v>32</v>
      </c>
      <c r="C98" s="20">
        <f t="shared" si="97"/>
        <v>500.83333333333331</v>
      </c>
      <c r="D98" s="20">
        <f t="shared" si="97"/>
        <v>500.83333333333331</v>
      </c>
      <c r="E98" s="20">
        <f t="shared" si="97"/>
        <v>500.83333333333331</v>
      </c>
      <c r="F98" s="20">
        <f t="shared" ref="F98:G98" si="103">F29-F63</f>
        <v>500.83333333333331</v>
      </c>
      <c r="G98" s="20">
        <f t="shared" si="103"/>
        <v>500.83333333333331</v>
      </c>
      <c r="H98" s="20">
        <f t="shared" ref="H98:I98" si="104">H29-H63</f>
        <v>500.83333333333331</v>
      </c>
      <c r="I98" s="20">
        <f t="shared" si="104"/>
        <v>500.83333333333331</v>
      </c>
      <c r="J98" s="20">
        <f t="shared" ref="J98:K98" si="105">J29-J63</f>
        <v>500.83333333333331</v>
      </c>
      <c r="K98" s="20">
        <f t="shared" si="105"/>
        <v>500.83333333333331</v>
      </c>
      <c r="L98" s="20">
        <f t="shared" ref="L98:N98" si="106">L29-L63</f>
        <v>500.83333333333331</v>
      </c>
      <c r="M98" s="20">
        <f t="shared" si="106"/>
        <v>500.83333333333331</v>
      </c>
      <c r="N98" s="20">
        <f t="shared" si="106"/>
        <v>500.83333333333331</v>
      </c>
      <c r="O98" s="52">
        <f t="shared" si="102"/>
        <v>6009.9999999999991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B99" s="34" t="s">
        <v>97</v>
      </c>
      <c r="C99" s="20">
        <f t="shared" si="97"/>
        <v>0</v>
      </c>
      <c r="D99" s="20">
        <f t="shared" si="97"/>
        <v>0</v>
      </c>
      <c r="E99" s="20">
        <f t="shared" si="97"/>
        <v>0</v>
      </c>
      <c r="F99" s="20">
        <f t="shared" ref="F99:G99" si="107">F30-F64</f>
        <v>0</v>
      </c>
      <c r="G99" s="20">
        <f t="shared" si="107"/>
        <v>0</v>
      </c>
      <c r="H99" s="20">
        <f t="shared" ref="H99:I99" si="108">H30-H64</f>
        <v>0</v>
      </c>
      <c r="I99" s="20">
        <f t="shared" si="108"/>
        <v>0</v>
      </c>
      <c r="J99" s="20">
        <f t="shared" ref="J99:K99" si="109">J30-J64</f>
        <v>0</v>
      </c>
      <c r="K99" s="20">
        <f t="shared" si="109"/>
        <v>0</v>
      </c>
      <c r="L99" s="20">
        <f t="shared" ref="L99:N99" si="110">L30-L64</f>
        <v>0</v>
      </c>
      <c r="M99" s="20">
        <f t="shared" si="110"/>
        <v>0</v>
      </c>
      <c r="N99" s="20">
        <f t="shared" si="110"/>
        <v>0</v>
      </c>
      <c r="O99" s="52">
        <f t="shared" si="102"/>
        <v>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hidden="1">
      <c r="B100" s="34" t="s">
        <v>33</v>
      </c>
      <c r="C100" s="20">
        <f t="shared" si="97"/>
        <v>0</v>
      </c>
      <c r="D100" s="20">
        <f t="shared" si="97"/>
        <v>0</v>
      </c>
      <c r="E100" s="20">
        <f t="shared" si="97"/>
        <v>0</v>
      </c>
      <c r="F100" s="20">
        <f t="shared" ref="F100:G100" si="111">F31-F65</f>
        <v>0</v>
      </c>
      <c r="G100" s="20">
        <f t="shared" si="111"/>
        <v>0</v>
      </c>
      <c r="H100" s="20">
        <f t="shared" ref="H100:I100" si="112">H31-H65</f>
        <v>0</v>
      </c>
      <c r="I100" s="20">
        <f t="shared" si="112"/>
        <v>0</v>
      </c>
      <c r="J100" s="20">
        <f t="shared" ref="J100:K100" si="113">J31-J65</f>
        <v>0</v>
      </c>
      <c r="K100" s="20">
        <f t="shared" si="113"/>
        <v>0</v>
      </c>
      <c r="L100" s="20">
        <f t="shared" ref="L100:N100" si="114">L31-L65</f>
        <v>0</v>
      </c>
      <c r="M100" s="20">
        <f t="shared" si="114"/>
        <v>0</v>
      </c>
      <c r="N100" s="20">
        <f t="shared" si="114"/>
        <v>0</v>
      </c>
      <c r="O100" s="52">
        <f t="shared" si="102"/>
        <v>0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idden="1">
      <c r="B101" s="34" t="s">
        <v>34</v>
      </c>
      <c r="C101" s="20">
        <f t="shared" si="97"/>
        <v>0</v>
      </c>
      <c r="D101" s="20">
        <f t="shared" si="97"/>
        <v>0</v>
      </c>
      <c r="E101" s="20">
        <f t="shared" si="97"/>
        <v>0</v>
      </c>
      <c r="F101" s="20">
        <f t="shared" ref="F101:G101" si="115">F32-F66</f>
        <v>0</v>
      </c>
      <c r="G101" s="20">
        <f t="shared" si="115"/>
        <v>0</v>
      </c>
      <c r="H101" s="20">
        <f t="shared" ref="H101:I101" si="116">H32-H66</f>
        <v>0</v>
      </c>
      <c r="I101" s="20">
        <f t="shared" si="116"/>
        <v>0</v>
      </c>
      <c r="J101" s="20">
        <f t="shared" ref="J101:K101" si="117">J32-J66</f>
        <v>0</v>
      </c>
      <c r="K101" s="20">
        <f t="shared" si="117"/>
        <v>0</v>
      </c>
      <c r="L101" s="20">
        <f t="shared" ref="L101:N101" si="118">L32-L66</f>
        <v>0</v>
      </c>
      <c r="M101" s="20">
        <f t="shared" si="118"/>
        <v>0</v>
      </c>
      <c r="N101" s="20">
        <f t="shared" si="118"/>
        <v>0</v>
      </c>
      <c r="O101" s="52">
        <f t="shared" si="102"/>
        <v>0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>
      <c r="B102" s="34" t="s">
        <v>35</v>
      </c>
      <c r="C102" s="20">
        <f t="shared" si="97"/>
        <v>0</v>
      </c>
      <c r="D102" s="20">
        <f t="shared" si="97"/>
        <v>0</v>
      </c>
      <c r="E102" s="20">
        <f t="shared" si="97"/>
        <v>0</v>
      </c>
      <c r="F102" s="20">
        <f t="shared" ref="F102:G103" si="119">F33-F67</f>
        <v>0</v>
      </c>
      <c r="G102" s="20">
        <f t="shared" si="119"/>
        <v>0</v>
      </c>
      <c r="H102" s="20">
        <f t="shared" ref="H102:I103" si="120">H33-H67</f>
        <v>0</v>
      </c>
      <c r="I102" s="20">
        <f t="shared" si="120"/>
        <v>0</v>
      </c>
      <c r="J102" s="20">
        <f t="shared" ref="J102:K103" si="121">J33-J67</f>
        <v>0</v>
      </c>
      <c r="K102" s="20">
        <f t="shared" si="121"/>
        <v>0</v>
      </c>
      <c r="L102" s="20">
        <f t="shared" ref="L102:N103" si="122">L33-L67</f>
        <v>0</v>
      </c>
      <c r="M102" s="20">
        <f t="shared" si="122"/>
        <v>0</v>
      </c>
      <c r="N102" s="20">
        <f t="shared" si="122"/>
        <v>0</v>
      </c>
      <c r="O102" s="52">
        <f t="shared" si="102"/>
        <v>0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B103" s="34" t="s">
        <v>99</v>
      </c>
      <c r="C103" s="20">
        <f t="shared" si="97"/>
        <v>3430</v>
      </c>
      <c r="D103" s="20">
        <f t="shared" si="97"/>
        <v>3430</v>
      </c>
      <c r="E103" s="20">
        <f t="shared" si="97"/>
        <v>3430</v>
      </c>
      <c r="F103" s="20">
        <f t="shared" si="119"/>
        <v>3430</v>
      </c>
      <c r="G103" s="20">
        <f t="shared" si="119"/>
        <v>3430</v>
      </c>
      <c r="H103" s="20">
        <f t="shared" si="120"/>
        <v>3430</v>
      </c>
      <c r="I103" s="20">
        <f t="shared" si="120"/>
        <v>3430</v>
      </c>
      <c r="J103" s="20">
        <f t="shared" si="121"/>
        <v>3430</v>
      </c>
      <c r="K103" s="20">
        <f t="shared" si="121"/>
        <v>3430</v>
      </c>
      <c r="L103" s="20">
        <f t="shared" si="122"/>
        <v>3430</v>
      </c>
      <c r="M103" s="20">
        <f t="shared" si="122"/>
        <v>3430</v>
      </c>
      <c r="N103" s="20">
        <f t="shared" si="122"/>
        <v>3430</v>
      </c>
      <c r="O103" s="52">
        <f t="shared" ref="O103" si="123">SUM(C103:N103)</f>
        <v>41160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B104" s="34" t="s">
        <v>36</v>
      </c>
      <c r="C104" s="20">
        <f t="shared" si="97"/>
        <v>28931.083333333332</v>
      </c>
      <c r="D104" s="20">
        <f t="shared" si="97"/>
        <v>28931.083333333332</v>
      </c>
      <c r="E104" s="20">
        <f t="shared" si="97"/>
        <v>28931.083333333332</v>
      </c>
      <c r="F104" s="20">
        <f t="shared" ref="F104:G104" si="124">F35-F69</f>
        <v>28931.083333333332</v>
      </c>
      <c r="G104" s="20">
        <f t="shared" si="124"/>
        <v>28931.083333333332</v>
      </c>
      <c r="H104" s="20">
        <f t="shared" ref="H104:I104" si="125">H35-H69</f>
        <v>28931.083333333332</v>
      </c>
      <c r="I104" s="20">
        <f t="shared" si="125"/>
        <v>28931.083333333332</v>
      </c>
      <c r="J104" s="20">
        <f t="shared" ref="J104:K104" si="126">J35-J69</f>
        <v>28931.083333333332</v>
      </c>
      <c r="K104" s="20">
        <f t="shared" si="126"/>
        <v>28931.083333333332</v>
      </c>
      <c r="L104" s="20">
        <f t="shared" ref="L104:N104" si="127">L35-L69</f>
        <v>28931.083333333332</v>
      </c>
      <c r="M104" s="20">
        <f t="shared" si="127"/>
        <v>28931.083333333332</v>
      </c>
      <c r="N104" s="20">
        <f t="shared" si="127"/>
        <v>28931.083333333332</v>
      </c>
      <c r="O104" s="52">
        <f t="shared" si="102"/>
        <v>347173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>
      <c r="A105" t="s">
        <v>81</v>
      </c>
      <c r="B105" s="33" t="s">
        <v>41</v>
      </c>
      <c r="C105" s="19">
        <f t="shared" si="97"/>
        <v>38042.85</v>
      </c>
      <c r="D105" s="19">
        <f t="shared" si="97"/>
        <v>37818.68</v>
      </c>
      <c r="E105" s="19">
        <f t="shared" si="97"/>
        <v>37247.519999999997</v>
      </c>
      <c r="F105" s="19">
        <f t="shared" ref="F105:G105" si="128">F36-F70</f>
        <v>41034.25</v>
      </c>
      <c r="G105" s="19">
        <f t="shared" si="128"/>
        <v>41034.25</v>
      </c>
      <c r="H105" s="19">
        <f t="shared" ref="H105:I105" si="129">H36-H70</f>
        <v>41034.25</v>
      </c>
      <c r="I105" s="19">
        <f t="shared" si="129"/>
        <v>41034.25</v>
      </c>
      <c r="J105" s="19">
        <f t="shared" ref="J105:K105" si="130">J36-J70</f>
        <v>41034.25</v>
      </c>
      <c r="K105" s="19">
        <f t="shared" si="130"/>
        <v>41034.25</v>
      </c>
      <c r="L105" s="19">
        <f t="shared" ref="L105:N105" si="131">L36-L70</f>
        <v>41034.25</v>
      </c>
      <c r="M105" s="19">
        <f t="shared" si="131"/>
        <v>41034.25</v>
      </c>
      <c r="N105" s="19">
        <f t="shared" si="131"/>
        <v>41034.25</v>
      </c>
      <c r="O105" s="53">
        <f t="shared" ref="O105" si="132">SUM(O97:O104)</f>
        <v>482417.3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>
      <c r="B106" s="33"/>
      <c r="F106" s="20"/>
      <c r="G106" s="20"/>
      <c r="H106" s="20"/>
      <c r="I106" s="20"/>
      <c r="J106" s="20"/>
      <c r="K106" s="20"/>
      <c r="L106" s="20"/>
      <c r="M106" s="20"/>
      <c r="N106" s="20"/>
      <c r="O106" s="56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ht="13.5" customHeight="1" thickBot="1">
      <c r="B107" s="33" t="s">
        <v>41</v>
      </c>
      <c r="C107" s="38">
        <f>C38-C72</f>
        <v>-176921.32666666678</v>
      </c>
      <c r="D107" s="38">
        <f t="shared" ref="D107:E107" si="133">D38-D72</f>
        <v>25622.41333333333</v>
      </c>
      <c r="E107" s="38">
        <f t="shared" si="133"/>
        <v>-12716.50666666677</v>
      </c>
      <c r="F107" s="38">
        <f t="shared" ref="F107:G107" si="134">F38-F72</f>
        <v>449779.83333333326</v>
      </c>
      <c r="G107" s="38">
        <f t="shared" si="134"/>
        <v>449779.83333333326</v>
      </c>
      <c r="H107" s="38">
        <f t="shared" ref="H107:I107" si="135">H38-H72</f>
        <v>449779.83333333326</v>
      </c>
      <c r="I107" s="38">
        <f t="shared" si="135"/>
        <v>449779.83333333326</v>
      </c>
      <c r="J107" s="38">
        <f t="shared" ref="J107:K107" si="136">J38-J72</f>
        <v>449779.83333333326</v>
      </c>
      <c r="K107" s="38">
        <f t="shared" si="136"/>
        <v>449779.83333333326</v>
      </c>
      <c r="L107" s="38">
        <f t="shared" ref="L107:N107" si="137">L38-L72</f>
        <v>449779.83333333326</v>
      </c>
      <c r="M107" s="38">
        <f t="shared" si="137"/>
        <v>449779.83333333326</v>
      </c>
      <c r="N107" s="38">
        <f t="shared" si="137"/>
        <v>449779.83333333326</v>
      </c>
      <c r="O107" s="21">
        <f t="shared" ref="O107" si="138">O105+O94+O83</f>
        <v>3884003.0799999991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ht="15.75" thickTop="1">
      <c r="B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>
      <c r="B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>
      <c r="B110" s="32" t="s">
        <v>53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27.75" customHeight="1">
      <c r="B111" s="97" t="s">
        <v>56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ht="27.75" customHeight="1">
      <c r="B112" s="97" t="s">
        <v>57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>
      <c r="B113" s="1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>
      <c r="B114" s="61" t="s">
        <v>55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2:29" ht="31.5" customHeight="1">
      <c r="B115" s="96" t="s">
        <v>116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2:29">
      <c r="B116" s="96" t="s">
        <v>123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29">
      <c r="B117" s="96" t="s">
        <v>132</v>
      </c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</sheetData>
  <mergeCells count="5">
    <mergeCell ref="B111:O111"/>
    <mergeCell ref="B115:O115"/>
    <mergeCell ref="B112:O112"/>
    <mergeCell ref="B116:O116"/>
    <mergeCell ref="B117:O117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1" t="s">
        <v>90</v>
      </c>
      <c r="B2" s="1">
        <f>'ID-Sch91 Rider Balance'!J17</f>
        <v>-801267.26547564275</v>
      </c>
    </row>
    <row r="3" spans="1:2">
      <c r="A3" s="81"/>
    </row>
    <row r="4" spans="1:2">
      <c r="A4" s="81" t="s">
        <v>91</v>
      </c>
      <c r="B4" s="1">
        <v>2607000</v>
      </c>
    </row>
    <row r="5" spans="1:2">
      <c r="A5" s="81" t="s">
        <v>92</v>
      </c>
      <c r="B5" s="88">
        <f>SUM('ID-Sch91 Rider Balance'!K11:N11)</f>
        <v>1858259</v>
      </c>
    </row>
    <row r="6" spans="1:2">
      <c r="A6" s="81"/>
      <c r="B6" s="1">
        <f>B5-B4</f>
        <v>-748741</v>
      </c>
    </row>
    <row r="8" spans="1:2">
      <c r="A8" s="81" t="s">
        <v>93</v>
      </c>
      <c r="B8" s="3">
        <f>B2+B6</f>
        <v>-1550008.2654756429</v>
      </c>
    </row>
    <row r="10" spans="1:2">
      <c r="A10" s="81" t="s">
        <v>94</v>
      </c>
      <c r="B10" s="1">
        <v>7706000</v>
      </c>
    </row>
    <row r="11" spans="1:2">
      <c r="A11" t="s">
        <v>95</v>
      </c>
      <c r="B11" s="89"/>
    </row>
    <row r="12" spans="1:2">
      <c r="B12" s="3">
        <f>B11-B10</f>
        <v>-7706000</v>
      </c>
    </row>
    <row r="14" spans="1:2">
      <c r="A14" t="s">
        <v>96</v>
      </c>
      <c r="B14" s="3">
        <f>B8+B12</f>
        <v>-9256008.2654756419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12" width="10.5703125" bestFit="1" customWidth="1"/>
    <col min="13" max="15" width="11.28515625" bestFit="1" customWidth="1"/>
    <col min="16" max="16" width="11.5703125" bestFit="1" customWidth="1"/>
    <col min="17" max="19" width="11.28515625" bestFit="1" customWidth="1"/>
    <col min="21" max="22" width="9.7109375" bestFit="1" customWidth="1"/>
    <col min="23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59</v>
      </c>
      <c r="Q4" s="42" t="s">
        <v>60</v>
      </c>
      <c r="R4" s="42" t="s">
        <v>61</v>
      </c>
      <c r="S4" s="42" t="s">
        <v>62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-801267.26547564275</v>
      </c>
      <c r="G5" s="1">
        <v>-801267.26547564275</v>
      </c>
      <c r="H5" s="1">
        <v>-801267.26547564275</v>
      </c>
      <c r="I5" s="1">
        <v>-801267.26547564275</v>
      </c>
      <c r="J5" s="1">
        <v>-801267.26547564275</v>
      </c>
      <c r="K5" s="1">
        <v>-801267.26547564275</v>
      </c>
      <c r="L5" s="1">
        <v>-801267.26547564275</v>
      </c>
      <c r="M5" s="1">
        <v>-801267.26547564275</v>
      </c>
      <c r="N5" s="1">
        <v>-801267.26547564275</v>
      </c>
      <c r="O5" s="40"/>
      <c r="P5" s="44">
        <v>466307.76</v>
      </c>
      <c r="Q5" s="47">
        <v>-801267.26547564287</v>
      </c>
      <c r="R5" s="47">
        <v>-801267.26547564287</v>
      </c>
      <c r="S5" s="47">
        <v>-801267.26547564287</v>
      </c>
      <c r="U5" s="47">
        <v>-1283346.027453769</v>
      </c>
      <c r="V5" s="47">
        <v>-1283346.027453769</v>
      </c>
      <c r="W5" s="47">
        <v>-1283346.027453769</v>
      </c>
      <c r="X5" s="47">
        <v>-1283346.027453769</v>
      </c>
      <c r="Y5" s="47">
        <v>-1283346.027453769</v>
      </c>
      <c r="Z5" s="47">
        <v>-1283346.027453769</v>
      </c>
      <c r="AA5" s="47">
        <v>-1283346.027453769</v>
      </c>
      <c r="AB5" s="47">
        <v>-1283346.027453769</v>
      </c>
      <c r="AC5" s="47">
        <v>-1283346.027453769</v>
      </c>
      <c r="AD5" s="47">
        <v>-1283346.027453769</v>
      </c>
      <c r="AE5" s="47">
        <v>-1283346.027453769</v>
      </c>
      <c r="AF5" s="47">
        <v>-1283346.027453769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851726.65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2320447.0354756429</v>
      </c>
      <c r="P8" s="47">
        <v>2320447.0354756429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185245.13688859239</v>
      </c>
      <c r="F9" s="22">
        <v>-579081.23508125055</v>
      </c>
      <c r="G9" s="22">
        <v>-572813.44250258419</v>
      </c>
      <c r="H9" s="22">
        <v>-574689.38997737388</v>
      </c>
      <c r="I9" s="22">
        <v>-610752.61206215969</v>
      </c>
      <c r="J9" s="22">
        <v>-612737.13680048392</v>
      </c>
      <c r="K9" s="22">
        <v>-571980.18213039427</v>
      </c>
      <c r="L9" s="22">
        <v>-622702.35335211549</v>
      </c>
      <c r="M9" s="22">
        <v>-672378.20568990125</v>
      </c>
      <c r="N9" s="22">
        <v>-738830.05628822499</v>
      </c>
      <c r="O9" s="48">
        <v>-5339032.2311658906</v>
      </c>
      <c r="P9" s="48">
        <v>216932.38271859707</v>
      </c>
      <c r="Q9" s="48">
        <v>-1726584.0675612085</v>
      </c>
      <c r="R9" s="48">
        <v>-1795469.930993038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1052872.01</v>
      </c>
      <c r="P12" s="47">
        <v>1052872.01</v>
      </c>
      <c r="Q12" s="47">
        <v>0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464564.75</v>
      </c>
      <c r="G13" s="23">
        <v>464564.75</v>
      </c>
      <c r="H13" s="23">
        <v>464564.75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4521904.99</v>
      </c>
      <c r="P13" s="49">
        <v>340822.24</v>
      </c>
      <c r="Q13" s="49">
        <v>1393694.25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508321.06000000006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1267575.0254756429</v>
      </c>
      <c r="P15" s="45">
        <v>1267575.0254756429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-801267.26547564275</v>
      </c>
      <c r="F17" s="59">
        <v>-801267.26547564275</v>
      </c>
      <c r="G17" s="59">
        <v>-801267.26547564275</v>
      </c>
      <c r="H17" s="59">
        <v>-801267.26547564275</v>
      </c>
      <c r="I17" s="59">
        <v>-801267.26547564275</v>
      </c>
      <c r="J17" s="59">
        <v>-801267.26547564275</v>
      </c>
      <c r="K17" s="59">
        <v>-801267.26547564275</v>
      </c>
      <c r="L17" s="59">
        <v>-801267.26547564275</v>
      </c>
      <c r="M17" s="59">
        <v>-801267.26547564275</v>
      </c>
      <c r="N17" s="59">
        <v>-801267.26547564275</v>
      </c>
      <c r="O17" s="47"/>
      <c r="P17" s="47">
        <v>-801267.26547564287</v>
      </c>
      <c r="Q17" s="47">
        <v>-801267.26547564287</v>
      </c>
      <c r="R17" s="47">
        <v>-801267.26547564287</v>
      </c>
      <c r="S17" s="47">
        <v>-801267.26547564287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58</v>
      </c>
      <c r="E19" s="3" t="s">
        <v>58</v>
      </c>
      <c r="F19" s="3">
        <v>-915783.75055689318</v>
      </c>
      <c r="G19" s="3">
        <v>-909515.95797822694</v>
      </c>
      <c r="H19" s="3">
        <v>-911391.90545301652</v>
      </c>
      <c r="I19" s="3">
        <v>-947455.12753780233</v>
      </c>
      <c r="J19" s="3">
        <v>-949439.65227612667</v>
      </c>
      <c r="K19" s="3">
        <v>-908682.69760603691</v>
      </c>
      <c r="L19" s="3">
        <v>-959404.86882775836</v>
      </c>
      <c r="M19" s="3">
        <v>-1009080.7211655439</v>
      </c>
      <c r="N19" s="3">
        <v>-1283346.027453769</v>
      </c>
      <c r="O19" s="40"/>
      <c r="P19" s="47"/>
      <c r="Q19" s="40"/>
      <c r="R19" s="40"/>
      <c r="S19" s="40"/>
      <c r="U19" s="47">
        <v>-1283346.027453769</v>
      </c>
      <c r="V19" s="47">
        <v>-1283346.027453769</v>
      </c>
      <c r="W19" s="47">
        <v>-1283346.027453769</v>
      </c>
      <c r="X19" s="47">
        <v>-1283346.027453769</v>
      </c>
      <c r="Y19" s="47">
        <v>-1283346.027453769</v>
      </c>
      <c r="Z19" s="47">
        <v>-1283346.027453769</v>
      </c>
      <c r="AA19" s="47">
        <v>-1283346.027453769</v>
      </c>
      <c r="AB19" s="47">
        <v>-1283346.027453769</v>
      </c>
      <c r="AC19" s="47">
        <v>-1283346.027453769</v>
      </c>
      <c r="AD19" s="47">
        <v>-1283346.027453769</v>
      </c>
      <c r="AE19" s="47">
        <v>-1283346.027453769</v>
      </c>
      <c r="AF19" s="47">
        <v>-1283346.027453769</v>
      </c>
    </row>
    <row r="21" spans="2:32">
      <c r="B21" s="51" t="s">
        <v>26</v>
      </c>
    </row>
    <row r="22" spans="2:32">
      <c r="B22" s="96" t="s">
        <v>117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2:32">
      <c r="B23" s="96" t="s">
        <v>128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2:32">
      <c r="B24" s="96" t="s">
        <v>135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2:32">
      <c r="B25" s="93" t="s">
        <v>58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32">
      <c r="B26" s="93" t="s">
        <v>58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32">
      <c r="B27" s="93" t="s">
        <v>58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2:32">
      <c r="B28" s="93" t="s">
        <v>58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32">
      <c r="B29" s="98" t="s">
        <v>58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2:32">
      <c r="B30" s="98" t="s">
        <v>58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2:32">
      <c r="B31" s="98" t="s">
        <v>58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mergeCells count="6">
    <mergeCell ref="B22:O22"/>
    <mergeCell ref="B23:O23"/>
    <mergeCell ref="B29:O29"/>
    <mergeCell ref="B30:O30"/>
    <mergeCell ref="B31:O31"/>
    <mergeCell ref="B24:O24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2011-04-13T07:00:00+00:00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934639-E103-4048-85EB-5FD83BCBE8EB}"/>
</file>

<file path=customXml/itemProps2.xml><?xml version="1.0" encoding="utf-8"?>
<ds:datastoreItem xmlns:ds="http://schemas.openxmlformats.org/officeDocument/2006/customXml" ds:itemID="{2AA4FA20-2D77-4794-98E9-E92D06DD49FF}"/>
</file>

<file path=customXml/itemProps3.xml><?xml version="1.0" encoding="utf-8"?>
<ds:datastoreItem xmlns:ds="http://schemas.openxmlformats.org/officeDocument/2006/customXml" ds:itemID="{6B97E1E2-A47B-4F0F-A9D2-9EB4C89781EF}"/>
</file>

<file path=customXml/itemProps4.xml><?xml version="1.0" encoding="utf-8"?>
<ds:datastoreItem xmlns:ds="http://schemas.openxmlformats.org/officeDocument/2006/customXml" ds:itemID="{F490F79F-7E6C-42AD-BAA2-2CA442144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2011-04-12T20:15:08Z</cp:lastPrinted>
  <dcterms:created xsi:type="dcterms:W3CDTF">2010-03-25T21:27:14Z</dcterms:created>
  <dcterms:modified xsi:type="dcterms:W3CDTF">2011-04-13T15:56:25Z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