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50" windowHeight="11385"/>
  </bookViews>
  <sheets>
    <sheet name="WAID Act vs Budget savings" sheetId="12" r:id="rId1"/>
    <sheet name="WA-Sch91 Rider Balance" sheetId="9" r:id="rId2"/>
    <sheet name="WA-Sch91 Budget-Act Exp" sheetId="10" r:id="rId3"/>
    <sheet name="WA-Sch191 Rider Balance" sheetId="3" r:id="rId4"/>
    <sheet name="WA-Sch191 Budget-Act Exp " sheetId="11" r:id="rId5"/>
    <sheet name="ID-Sch91 Rider Balance" sheetId="2" r:id="rId6"/>
    <sheet name="ID-Sch91 Budget-Act Exp" sheetId="19" r:id="rId7"/>
    <sheet name="ID-Sch191 Rider Balance" sheetId="4" r:id="rId8"/>
    <sheet name="ID-Sch191 Budget-Act Exp" sheetId="14" r:id="rId9"/>
  </sheets>
  <definedNames>
    <definedName name="DSMFlag" localSheetId="6">'ID-Sch91 Budget-Act Exp'!$F$117</definedName>
    <definedName name="DSMFlag" localSheetId="4">'WA-Sch191 Budget-Act Exp '!$F$117</definedName>
    <definedName name="DSMFlag" localSheetId="2">'WA-Sch91 Budget-Act Exp'!$F$117</definedName>
    <definedName name="DSMFlag" localSheetId="1">'WA-Sch91 Rider Balance'!$F$35</definedName>
    <definedName name="DSMFlag">#REF!</definedName>
    <definedName name="_xlnm.Print_Area" localSheetId="8">'ID-Sch191 Budget-Act Exp'!$B$1:$O$111</definedName>
    <definedName name="_xlnm.Print_Area" localSheetId="6">'ID-Sch91 Budget-Act Exp'!$B$1:$O$113</definedName>
    <definedName name="_xlnm.Print_Area" localSheetId="4">'WA-Sch191 Budget-Act Exp '!$B$1:$O$112</definedName>
    <definedName name="_xlnm.Print_Area" localSheetId="2">'WA-Sch91 Budget-Act Exp'!$B$1:$O$113</definedName>
    <definedName name="_xlnm.Print_Titles" localSheetId="7">'ID-Sch191 Rider Balance'!$A:$B</definedName>
    <definedName name="_xlnm.Print_Titles" localSheetId="5">'ID-Sch91 Rider Balance'!$A:$B</definedName>
    <definedName name="_xlnm.Print_Titles" localSheetId="3">'WA-Sch191 Rider Balance'!$A:$B</definedName>
    <definedName name="_xlnm.Print_Titles" localSheetId="1">'WA-Sch91 Rider Balance'!$A:$B</definedName>
  </definedNames>
  <calcPr calcId="125725"/>
</workbook>
</file>

<file path=xl/calcChain.xml><?xml version="1.0" encoding="utf-8"?>
<calcChain xmlns="http://schemas.openxmlformats.org/spreadsheetml/2006/main">
  <c r="S12" i="4"/>
  <c r="R12"/>
  <c r="Q12"/>
  <c r="S11"/>
  <c r="S13" s="1"/>
  <c r="R11"/>
  <c r="R13" s="1"/>
  <c r="Q11"/>
  <c r="Q13" s="1"/>
  <c r="P11"/>
  <c r="O11"/>
  <c r="S8"/>
  <c r="S15" s="1"/>
  <c r="S17" s="1"/>
  <c r="R8"/>
  <c r="Q8"/>
  <c r="Q15" s="1"/>
  <c r="Q17" s="1"/>
  <c r="P5"/>
  <c r="S7"/>
  <c r="R7"/>
  <c r="R9" s="1"/>
  <c r="Q7"/>
  <c r="O7"/>
  <c r="R15" l="1"/>
  <c r="R17" s="1"/>
  <c r="P7"/>
  <c r="Q9"/>
  <c r="S9"/>
  <c r="S12" i="2"/>
  <c r="R12"/>
  <c r="Q12"/>
  <c r="S11"/>
  <c r="S13" s="1"/>
  <c r="R11"/>
  <c r="R13" s="1"/>
  <c r="Q11"/>
  <c r="Q13" s="1"/>
  <c r="P11"/>
  <c r="O11"/>
  <c r="S8"/>
  <c r="R8"/>
  <c r="R15" s="1"/>
  <c r="R17" s="1"/>
  <c r="Q8"/>
  <c r="S7"/>
  <c r="R7"/>
  <c r="Q7"/>
  <c r="Q9" s="1"/>
  <c r="P7"/>
  <c r="O7"/>
  <c r="P5"/>
  <c r="S12" i="3"/>
  <c r="R12"/>
  <c r="Q12"/>
  <c r="S11"/>
  <c r="S13" s="1"/>
  <c r="R11"/>
  <c r="R13" s="1"/>
  <c r="Q11"/>
  <c r="Q13" s="1"/>
  <c r="P11"/>
  <c r="O11"/>
  <c r="S8"/>
  <c r="R8"/>
  <c r="R15" s="1"/>
  <c r="R17" s="1"/>
  <c r="Q8"/>
  <c r="S7"/>
  <c r="S9" s="1"/>
  <c r="R7"/>
  <c r="Q7"/>
  <c r="Q9" s="1"/>
  <c r="P7"/>
  <c r="O7"/>
  <c r="P5"/>
  <c r="E12" i="4"/>
  <c r="D12"/>
  <c r="C12"/>
  <c r="E12" i="3"/>
  <c r="D12"/>
  <c r="C12"/>
  <c r="P12" s="1"/>
  <c r="E12" i="9"/>
  <c r="D12"/>
  <c r="C12"/>
  <c r="M28" i="19"/>
  <c r="L28"/>
  <c r="K28"/>
  <c r="J28"/>
  <c r="I28"/>
  <c r="H28"/>
  <c r="G28"/>
  <c r="F28"/>
  <c r="E28"/>
  <c r="D28"/>
  <c r="C28"/>
  <c r="N28"/>
  <c r="N33"/>
  <c r="M33"/>
  <c r="L33"/>
  <c r="K33"/>
  <c r="J33"/>
  <c r="I33"/>
  <c r="H33"/>
  <c r="G33"/>
  <c r="F33"/>
  <c r="E33"/>
  <c r="D33"/>
  <c r="N29"/>
  <c r="M29"/>
  <c r="L29"/>
  <c r="K29"/>
  <c r="J29"/>
  <c r="I29"/>
  <c r="H29"/>
  <c r="G29"/>
  <c r="F29"/>
  <c r="E29"/>
  <c r="D29"/>
  <c r="N27"/>
  <c r="M27"/>
  <c r="L27"/>
  <c r="K27"/>
  <c r="J27"/>
  <c r="I27"/>
  <c r="H27"/>
  <c r="G27"/>
  <c r="F27"/>
  <c r="E27"/>
  <c r="D27"/>
  <c r="C33"/>
  <c r="C29"/>
  <c r="C27"/>
  <c r="N22"/>
  <c r="M22"/>
  <c r="L22"/>
  <c r="K22"/>
  <c r="J22"/>
  <c r="I22"/>
  <c r="H22"/>
  <c r="G22"/>
  <c r="F22"/>
  <c r="E22"/>
  <c r="D22"/>
  <c r="C22"/>
  <c r="N23"/>
  <c r="M23"/>
  <c r="L23"/>
  <c r="K23"/>
  <c r="J23"/>
  <c r="I23"/>
  <c r="H23"/>
  <c r="G23"/>
  <c r="F23"/>
  <c r="E23"/>
  <c r="D23"/>
  <c r="C23"/>
  <c r="N20"/>
  <c r="M20"/>
  <c r="L20"/>
  <c r="K20"/>
  <c r="J20"/>
  <c r="I20"/>
  <c r="H20"/>
  <c r="G20"/>
  <c r="F20"/>
  <c r="E20"/>
  <c r="D20"/>
  <c r="C20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C17"/>
  <c r="D17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P8" i="2"/>
  <c r="P8" i="3"/>
  <c r="P15" l="1"/>
  <c r="S9" i="2"/>
  <c r="Q15"/>
  <c r="Q17" s="1"/>
  <c r="S15"/>
  <c r="S17" s="1"/>
  <c r="Q15" i="3"/>
  <c r="Q17" s="1"/>
  <c r="S15"/>
  <c r="S17" s="1"/>
  <c r="O12" i="4"/>
  <c r="P12"/>
  <c r="O8" i="3"/>
  <c r="P13"/>
  <c r="O12"/>
  <c r="O15" s="1"/>
  <c r="O8" i="2"/>
  <c r="P8" i="4"/>
  <c r="O8"/>
  <c r="P9"/>
  <c r="P9" i="2"/>
  <c r="R9"/>
  <c r="P17" i="3"/>
  <c r="P9"/>
  <c r="R9"/>
  <c r="O15" i="4" l="1"/>
  <c r="P15"/>
  <c r="P17" s="1"/>
  <c r="P13"/>
  <c r="P5" i="9"/>
  <c r="E97" i="19"/>
  <c r="D97"/>
  <c r="O97" s="1"/>
  <c r="C97"/>
  <c r="E96"/>
  <c r="D96"/>
  <c r="C96"/>
  <c r="E95"/>
  <c r="D95"/>
  <c r="O95" s="1"/>
  <c r="C95"/>
  <c r="E86"/>
  <c r="D86"/>
  <c r="C86"/>
  <c r="E85"/>
  <c r="D85"/>
  <c r="O85" s="1"/>
  <c r="C85"/>
  <c r="E84"/>
  <c r="D84"/>
  <c r="C84"/>
  <c r="E78"/>
  <c r="D78"/>
  <c r="O78" s="1"/>
  <c r="C78"/>
  <c r="E77"/>
  <c r="D77"/>
  <c r="C77"/>
  <c r="E76"/>
  <c r="D76"/>
  <c r="O76" s="1"/>
  <c r="C76"/>
  <c r="E75"/>
  <c r="D75"/>
  <c r="C75"/>
  <c r="N66"/>
  <c r="M66"/>
  <c r="L66"/>
  <c r="K66"/>
  <c r="J66"/>
  <c r="I66"/>
  <c r="H66"/>
  <c r="G66"/>
  <c r="F66"/>
  <c r="E66"/>
  <c r="D66"/>
  <c r="C66"/>
  <c r="O65"/>
  <c r="P65" s="1"/>
  <c r="O64"/>
  <c r="P64" s="1"/>
  <c r="O63"/>
  <c r="P63" s="1"/>
  <c r="O62"/>
  <c r="P62" s="1"/>
  <c r="O61"/>
  <c r="P61" s="1"/>
  <c r="O60"/>
  <c r="P60" s="1"/>
  <c r="O59"/>
  <c r="N56"/>
  <c r="M56"/>
  <c r="L56"/>
  <c r="K56"/>
  <c r="J56"/>
  <c r="I56"/>
  <c r="H56"/>
  <c r="G56"/>
  <c r="F56"/>
  <c r="E56"/>
  <c r="D56"/>
  <c r="C56"/>
  <c r="O55"/>
  <c r="P55" s="1"/>
  <c r="O54"/>
  <c r="P54" s="1"/>
  <c r="O53"/>
  <c r="P53" s="1"/>
  <c r="O52"/>
  <c r="P52" s="1"/>
  <c r="O51"/>
  <c r="P51" s="1"/>
  <c r="O50"/>
  <c r="P50" s="1"/>
  <c r="O49"/>
  <c r="N46"/>
  <c r="M46"/>
  <c r="L46"/>
  <c r="K46"/>
  <c r="J46"/>
  <c r="I46"/>
  <c r="H46"/>
  <c r="G46"/>
  <c r="F46"/>
  <c r="E46"/>
  <c r="D46"/>
  <c r="C46"/>
  <c r="O45"/>
  <c r="P45" s="1"/>
  <c r="O44"/>
  <c r="P44" s="1"/>
  <c r="O43"/>
  <c r="P43" s="1"/>
  <c r="O42"/>
  <c r="P42" s="1"/>
  <c r="O41"/>
  <c r="P41" s="1"/>
  <c r="O40"/>
  <c r="P40" s="1"/>
  <c r="O39"/>
  <c r="E98"/>
  <c r="D98"/>
  <c r="C98"/>
  <c r="O32"/>
  <c r="O31"/>
  <c r="O30"/>
  <c r="E94"/>
  <c r="D94"/>
  <c r="C94"/>
  <c r="O94" s="1"/>
  <c r="E93"/>
  <c r="D93"/>
  <c r="C93"/>
  <c r="N34"/>
  <c r="M34"/>
  <c r="L34"/>
  <c r="K34"/>
  <c r="J34"/>
  <c r="I34"/>
  <c r="H34"/>
  <c r="G34"/>
  <c r="F34"/>
  <c r="E92"/>
  <c r="D92"/>
  <c r="C92"/>
  <c r="E88"/>
  <c r="D88"/>
  <c r="C88"/>
  <c r="E87"/>
  <c r="D87"/>
  <c r="C87"/>
  <c r="O21"/>
  <c r="O20"/>
  <c r="O19"/>
  <c r="E83"/>
  <c r="D83"/>
  <c r="C83"/>
  <c r="N24"/>
  <c r="M24"/>
  <c r="L24"/>
  <c r="K24"/>
  <c r="J24"/>
  <c r="I24"/>
  <c r="H24"/>
  <c r="G24"/>
  <c r="F24"/>
  <c r="E82"/>
  <c r="D82"/>
  <c r="C82"/>
  <c r="O13"/>
  <c r="O12"/>
  <c r="O11"/>
  <c r="O10"/>
  <c r="E74"/>
  <c r="D74"/>
  <c r="C74"/>
  <c r="E73"/>
  <c r="D73"/>
  <c r="C73"/>
  <c r="N14"/>
  <c r="M14"/>
  <c r="L14"/>
  <c r="K14"/>
  <c r="J14"/>
  <c r="I14"/>
  <c r="H14"/>
  <c r="G14"/>
  <c r="F14"/>
  <c r="E72"/>
  <c r="D72"/>
  <c r="C72"/>
  <c r="O56" l="1"/>
  <c r="O66"/>
  <c r="O92"/>
  <c r="O93"/>
  <c r="O88"/>
  <c r="O87"/>
  <c r="C68"/>
  <c r="C12" i="2" s="1"/>
  <c r="E68" i="19"/>
  <c r="E12" i="2" s="1"/>
  <c r="G68" i="19"/>
  <c r="I68"/>
  <c r="K68"/>
  <c r="M68"/>
  <c r="O46"/>
  <c r="P49"/>
  <c r="P56" s="1"/>
  <c r="P59"/>
  <c r="P66" s="1"/>
  <c r="D68"/>
  <c r="D12" i="2" s="1"/>
  <c r="F68" i="19"/>
  <c r="H68"/>
  <c r="J68"/>
  <c r="L68"/>
  <c r="N68"/>
  <c r="O75"/>
  <c r="O77"/>
  <c r="O84"/>
  <c r="O86"/>
  <c r="O96"/>
  <c r="O72"/>
  <c r="O73"/>
  <c r="O74"/>
  <c r="O82"/>
  <c r="O83"/>
  <c r="F36"/>
  <c r="H36"/>
  <c r="J36"/>
  <c r="L36"/>
  <c r="N36"/>
  <c r="O98"/>
  <c r="G36"/>
  <c r="I36"/>
  <c r="K36"/>
  <c r="M36"/>
  <c r="O7"/>
  <c r="O9"/>
  <c r="D14"/>
  <c r="D79" s="1"/>
  <c r="O17"/>
  <c r="O23"/>
  <c r="D24"/>
  <c r="D89" s="1"/>
  <c r="O27"/>
  <c r="O29"/>
  <c r="O33"/>
  <c r="D34"/>
  <c r="P39"/>
  <c r="P46" s="1"/>
  <c r="O8"/>
  <c r="C14"/>
  <c r="C79" s="1"/>
  <c r="E14"/>
  <c r="E79" s="1"/>
  <c r="O18"/>
  <c r="O22"/>
  <c r="C24"/>
  <c r="C89" s="1"/>
  <c r="E24"/>
  <c r="E89" s="1"/>
  <c r="O28"/>
  <c r="C34"/>
  <c r="E34"/>
  <c r="P12" i="2" l="1"/>
  <c r="O12"/>
  <c r="O15" s="1"/>
  <c r="O68" i="19"/>
  <c r="P68"/>
  <c r="O99"/>
  <c r="O89"/>
  <c r="E99"/>
  <c r="E36"/>
  <c r="E101" s="1"/>
  <c r="O34"/>
  <c r="O14"/>
  <c r="O79"/>
  <c r="C99"/>
  <c r="C36"/>
  <c r="C101" s="1"/>
  <c r="D36"/>
  <c r="D101" s="1"/>
  <c r="D99"/>
  <c r="O24"/>
  <c r="P13" i="2" l="1"/>
  <c r="P15"/>
  <c r="P17" s="1"/>
  <c r="O101" i="19"/>
  <c r="O36"/>
  <c r="E97" i="14" l="1"/>
  <c r="D97"/>
  <c r="C97"/>
  <c r="E96"/>
  <c r="D96"/>
  <c r="O96" s="1"/>
  <c r="C96"/>
  <c r="E95"/>
  <c r="D95"/>
  <c r="C95"/>
  <c r="E87"/>
  <c r="D87"/>
  <c r="C87"/>
  <c r="E86"/>
  <c r="D86"/>
  <c r="O86" s="1"/>
  <c r="C86"/>
  <c r="E85"/>
  <c r="D85"/>
  <c r="C85"/>
  <c r="E84"/>
  <c r="D84"/>
  <c r="O84" s="1"/>
  <c r="C84"/>
  <c r="E78"/>
  <c r="D78"/>
  <c r="O78" s="1"/>
  <c r="C78"/>
  <c r="E77"/>
  <c r="D77"/>
  <c r="C77"/>
  <c r="E76"/>
  <c r="D76"/>
  <c r="O76" s="1"/>
  <c r="C76"/>
  <c r="E75"/>
  <c r="D75"/>
  <c r="C75"/>
  <c r="E97" i="11"/>
  <c r="D97"/>
  <c r="C97"/>
  <c r="O97" s="1"/>
  <c r="E96"/>
  <c r="D96"/>
  <c r="C96"/>
  <c r="E95"/>
  <c r="D95"/>
  <c r="C95"/>
  <c r="E87"/>
  <c r="D87"/>
  <c r="C87"/>
  <c r="E86"/>
  <c r="D86"/>
  <c r="O86" s="1"/>
  <c r="C86"/>
  <c r="E85"/>
  <c r="D85"/>
  <c r="C85"/>
  <c r="E84"/>
  <c r="D84"/>
  <c r="C84"/>
  <c r="E78"/>
  <c r="D78"/>
  <c r="O78" s="1"/>
  <c r="C78"/>
  <c r="E77"/>
  <c r="D77"/>
  <c r="C77"/>
  <c r="E76"/>
  <c r="D76"/>
  <c r="O76" s="1"/>
  <c r="C76"/>
  <c r="E75"/>
  <c r="D75"/>
  <c r="C75"/>
  <c r="O65" i="10"/>
  <c r="P65" s="1"/>
  <c r="O64"/>
  <c r="O63"/>
  <c r="P63" s="1"/>
  <c r="O62"/>
  <c r="O61"/>
  <c r="P61" s="1"/>
  <c r="O60"/>
  <c r="O59"/>
  <c r="O66" s="1"/>
  <c r="O55"/>
  <c r="O54"/>
  <c r="P54" s="1"/>
  <c r="O53"/>
  <c r="O52"/>
  <c r="P52" s="1"/>
  <c r="O51"/>
  <c r="O50"/>
  <c r="P50" s="1"/>
  <c r="O49"/>
  <c r="O45"/>
  <c r="O44"/>
  <c r="O43"/>
  <c r="O42"/>
  <c r="O41"/>
  <c r="O40"/>
  <c r="O39"/>
  <c r="O46" s="1"/>
  <c r="E97"/>
  <c r="D97"/>
  <c r="C97"/>
  <c r="O97" s="1"/>
  <c r="E96"/>
  <c r="D96"/>
  <c r="C96"/>
  <c r="O96" s="1"/>
  <c r="E95"/>
  <c r="D95"/>
  <c r="C95"/>
  <c r="O95" s="1"/>
  <c r="E86"/>
  <c r="D86"/>
  <c r="O86" s="1"/>
  <c r="C86"/>
  <c r="E85"/>
  <c r="D85"/>
  <c r="C85"/>
  <c r="O85" s="1"/>
  <c r="E84"/>
  <c r="D84"/>
  <c r="O84" s="1"/>
  <c r="C84"/>
  <c r="E78"/>
  <c r="D78"/>
  <c r="E77"/>
  <c r="D77"/>
  <c r="E76"/>
  <c r="D76"/>
  <c r="E75"/>
  <c r="D75"/>
  <c r="C75"/>
  <c r="O75" s="1"/>
  <c r="C76"/>
  <c r="O76" s="1"/>
  <c r="C77"/>
  <c r="O77" s="1"/>
  <c r="C78"/>
  <c r="O78" s="1"/>
  <c r="N33" i="14"/>
  <c r="M33"/>
  <c r="L33"/>
  <c r="K33"/>
  <c r="J33"/>
  <c r="I33"/>
  <c r="H33"/>
  <c r="G33"/>
  <c r="F33"/>
  <c r="E33"/>
  <c r="E98" s="1"/>
  <c r="D33"/>
  <c r="D98" s="1"/>
  <c r="N29"/>
  <c r="M29"/>
  <c r="L29"/>
  <c r="K29"/>
  <c r="J29"/>
  <c r="I29"/>
  <c r="H29"/>
  <c r="G29"/>
  <c r="F29"/>
  <c r="E29"/>
  <c r="E94" s="1"/>
  <c r="D29"/>
  <c r="D94" s="1"/>
  <c r="N28"/>
  <c r="M28"/>
  <c r="L28"/>
  <c r="K28"/>
  <c r="J28"/>
  <c r="I28"/>
  <c r="H28"/>
  <c r="G28"/>
  <c r="F28"/>
  <c r="E28"/>
  <c r="E93" s="1"/>
  <c r="D28"/>
  <c r="D93" s="1"/>
  <c r="N27"/>
  <c r="M27"/>
  <c r="L27"/>
  <c r="K27"/>
  <c r="J27"/>
  <c r="I27"/>
  <c r="H27"/>
  <c r="G27"/>
  <c r="F27"/>
  <c r="E27"/>
  <c r="E92" s="1"/>
  <c r="D27"/>
  <c r="D92" s="1"/>
  <c r="C33"/>
  <c r="C98" s="1"/>
  <c r="C29"/>
  <c r="C94" s="1"/>
  <c r="C28"/>
  <c r="C93" s="1"/>
  <c r="C27"/>
  <c r="C92" s="1"/>
  <c r="N23"/>
  <c r="M23"/>
  <c r="L23"/>
  <c r="K23"/>
  <c r="J23"/>
  <c r="I23"/>
  <c r="H23"/>
  <c r="G23"/>
  <c r="F23"/>
  <c r="E23"/>
  <c r="E88" s="1"/>
  <c r="D23"/>
  <c r="D88" s="1"/>
  <c r="O88" s="1"/>
  <c r="N18"/>
  <c r="M18"/>
  <c r="L18"/>
  <c r="K18"/>
  <c r="J18"/>
  <c r="I18"/>
  <c r="H18"/>
  <c r="G18"/>
  <c r="F18"/>
  <c r="E18"/>
  <c r="E83" s="1"/>
  <c r="D18"/>
  <c r="D83" s="1"/>
  <c r="N17"/>
  <c r="M17"/>
  <c r="L17"/>
  <c r="K17"/>
  <c r="J17"/>
  <c r="I17"/>
  <c r="H17"/>
  <c r="G17"/>
  <c r="F17"/>
  <c r="E17"/>
  <c r="E82" s="1"/>
  <c r="D17"/>
  <c r="D82" s="1"/>
  <c r="O82" s="1"/>
  <c r="C23"/>
  <c r="C88" s="1"/>
  <c r="C18"/>
  <c r="C83" s="1"/>
  <c r="C17"/>
  <c r="C82" s="1"/>
  <c r="N9"/>
  <c r="M9"/>
  <c r="L9"/>
  <c r="K9"/>
  <c r="J9"/>
  <c r="I9"/>
  <c r="H9"/>
  <c r="G9"/>
  <c r="F9"/>
  <c r="E9"/>
  <c r="E74" s="1"/>
  <c r="D9"/>
  <c r="D74" s="1"/>
  <c r="O74" s="1"/>
  <c r="C9"/>
  <c r="C74" s="1"/>
  <c r="N8"/>
  <c r="M8"/>
  <c r="L8"/>
  <c r="K8"/>
  <c r="J8"/>
  <c r="I8"/>
  <c r="H8"/>
  <c r="G8"/>
  <c r="F8"/>
  <c r="E8"/>
  <c r="E73" s="1"/>
  <c r="D8"/>
  <c r="D73" s="1"/>
  <c r="N7"/>
  <c r="M7"/>
  <c r="L7"/>
  <c r="K7"/>
  <c r="J7"/>
  <c r="I7"/>
  <c r="H7"/>
  <c r="G7"/>
  <c r="F7"/>
  <c r="E7"/>
  <c r="E72" s="1"/>
  <c r="D7"/>
  <c r="D72" s="1"/>
  <c r="C8"/>
  <c r="C73" s="1"/>
  <c r="C7"/>
  <c r="C72" s="1"/>
  <c r="O66"/>
  <c r="N66"/>
  <c r="M66"/>
  <c r="L66"/>
  <c r="K66"/>
  <c r="J66"/>
  <c r="I66"/>
  <c r="H66"/>
  <c r="G66"/>
  <c r="F66"/>
  <c r="E66"/>
  <c r="D66"/>
  <c r="C66"/>
  <c r="P65"/>
  <c r="P64"/>
  <c r="P63"/>
  <c r="P62"/>
  <c r="P61"/>
  <c r="P60"/>
  <c r="P59"/>
  <c r="O56"/>
  <c r="N56"/>
  <c r="M56"/>
  <c r="L56"/>
  <c r="K56"/>
  <c r="J56"/>
  <c r="I56"/>
  <c r="H56"/>
  <c r="G56"/>
  <c r="F56"/>
  <c r="E56"/>
  <c r="D56"/>
  <c r="C56"/>
  <c r="P55"/>
  <c r="P54"/>
  <c r="P53"/>
  <c r="P52"/>
  <c r="P51"/>
  <c r="P50"/>
  <c r="P49"/>
  <c r="O46"/>
  <c r="N46"/>
  <c r="M46"/>
  <c r="L46"/>
  <c r="K46"/>
  <c r="J46"/>
  <c r="I46"/>
  <c r="H46"/>
  <c r="G46"/>
  <c r="F46"/>
  <c r="E46"/>
  <c r="D46"/>
  <c r="C46"/>
  <c r="P45"/>
  <c r="P44"/>
  <c r="P43"/>
  <c r="P42"/>
  <c r="P41"/>
  <c r="P40"/>
  <c r="P39"/>
  <c r="O32"/>
  <c r="O31"/>
  <c r="O30"/>
  <c r="M34"/>
  <c r="K34"/>
  <c r="I34"/>
  <c r="G34"/>
  <c r="E34"/>
  <c r="E99" s="1"/>
  <c r="C34"/>
  <c r="C99" s="1"/>
  <c r="O21"/>
  <c r="O19"/>
  <c r="M24"/>
  <c r="K24"/>
  <c r="I24"/>
  <c r="G24"/>
  <c r="E24"/>
  <c r="E89" s="1"/>
  <c r="C24"/>
  <c r="C89" s="1"/>
  <c r="O13"/>
  <c r="O12"/>
  <c r="O11"/>
  <c r="O10"/>
  <c r="M14"/>
  <c r="K14"/>
  <c r="I14"/>
  <c r="G14"/>
  <c r="E14"/>
  <c r="E79" s="1"/>
  <c r="C14"/>
  <c r="C79" s="1"/>
  <c r="C66" i="10"/>
  <c r="E56"/>
  <c r="D56"/>
  <c r="C56"/>
  <c r="E46"/>
  <c r="D46"/>
  <c r="C46"/>
  <c r="N66"/>
  <c r="M66"/>
  <c r="L66"/>
  <c r="K66"/>
  <c r="J66"/>
  <c r="I66"/>
  <c r="H66"/>
  <c r="G66"/>
  <c r="F66"/>
  <c r="E66"/>
  <c r="D66"/>
  <c r="D68" s="1"/>
  <c r="P64"/>
  <c r="P62"/>
  <c r="P60"/>
  <c r="O56"/>
  <c r="N56"/>
  <c r="M56"/>
  <c r="L56"/>
  <c r="K56"/>
  <c r="J56"/>
  <c r="I56"/>
  <c r="H56"/>
  <c r="G56"/>
  <c r="F56"/>
  <c r="P55"/>
  <c r="P53"/>
  <c r="P51"/>
  <c r="P49"/>
  <c r="N46"/>
  <c r="M46"/>
  <c r="L46"/>
  <c r="K46"/>
  <c r="J46"/>
  <c r="I46"/>
  <c r="H46"/>
  <c r="G46"/>
  <c r="F46"/>
  <c r="P45"/>
  <c r="P44"/>
  <c r="P43"/>
  <c r="P42"/>
  <c r="P41"/>
  <c r="P40"/>
  <c r="P39"/>
  <c r="O65" i="11"/>
  <c r="O64"/>
  <c r="O63"/>
  <c r="O62"/>
  <c r="O61"/>
  <c r="O60"/>
  <c r="O59"/>
  <c r="N66"/>
  <c r="N68" s="1"/>
  <c r="M66"/>
  <c r="M68" s="1"/>
  <c r="L66"/>
  <c r="L68" s="1"/>
  <c r="K66"/>
  <c r="K68" s="1"/>
  <c r="J66"/>
  <c r="J68" s="1"/>
  <c r="I66"/>
  <c r="I68" s="1"/>
  <c r="H66"/>
  <c r="H68" s="1"/>
  <c r="G66"/>
  <c r="G68" s="1"/>
  <c r="F66"/>
  <c r="E66"/>
  <c r="D66"/>
  <c r="C66"/>
  <c r="O55"/>
  <c r="O54"/>
  <c r="O53"/>
  <c r="O52"/>
  <c r="O51"/>
  <c r="O50"/>
  <c r="O49"/>
  <c r="N56"/>
  <c r="M56"/>
  <c r="L56"/>
  <c r="K56"/>
  <c r="J56"/>
  <c r="I56"/>
  <c r="H56"/>
  <c r="G56"/>
  <c r="F56"/>
  <c r="E56"/>
  <c r="D56"/>
  <c r="C56"/>
  <c r="O45"/>
  <c r="O44"/>
  <c r="O43"/>
  <c r="O42"/>
  <c r="O41"/>
  <c r="O40"/>
  <c r="O39"/>
  <c r="N46"/>
  <c r="M46"/>
  <c r="L46"/>
  <c r="K46"/>
  <c r="J46"/>
  <c r="I46"/>
  <c r="H46"/>
  <c r="G46"/>
  <c r="F46"/>
  <c r="F68" s="1"/>
  <c r="E46"/>
  <c r="D46"/>
  <c r="C46"/>
  <c r="O72" i="14" l="1"/>
  <c r="O83"/>
  <c r="O89" s="1"/>
  <c r="O92"/>
  <c r="O94"/>
  <c r="O73"/>
  <c r="O93"/>
  <c r="O98"/>
  <c r="P46"/>
  <c r="P66"/>
  <c r="O75"/>
  <c r="O77"/>
  <c r="O85"/>
  <c r="O87"/>
  <c r="O95"/>
  <c r="O97"/>
  <c r="O84" i="11"/>
  <c r="O75"/>
  <c r="O77"/>
  <c r="O85"/>
  <c r="O87"/>
  <c r="O95"/>
  <c r="O96"/>
  <c r="E68" i="10"/>
  <c r="C68"/>
  <c r="H68"/>
  <c r="J68"/>
  <c r="L68"/>
  <c r="N68"/>
  <c r="G68"/>
  <c r="I68"/>
  <c r="K68"/>
  <c r="M68"/>
  <c r="P59"/>
  <c r="O68"/>
  <c r="P46"/>
  <c r="P56" i="14"/>
  <c r="D68"/>
  <c r="F68"/>
  <c r="H68"/>
  <c r="J68"/>
  <c r="L68"/>
  <c r="N68"/>
  <c r="C36"/>
  <c r="E36"/>
  <c r="G36"/>
  <c r="I36"/>
  <c r="K36"/>
  <c r="M36"/>
  <c r="P68"/>
  <c r="O7"/>
  <c r="O9"/>
  <c r="D14"/>
  <c r="D79" s="1"/>
  <c r="F14"/>
  <c r="H14"/>
  <c r="J14"/>
  <c r="L14"/>
  <c r="N14"/>
  <c r="O17"/>
  <c r="O23"/>
  <c r="D24"/>
  <c r="D89" s="1"/>
  <c r="F24"/>
  <c r="H24"/>
  <c r="J24"/>
  <c r="L24"/>
  <c r="N24"/>
  <c r="O27"/>
  <c r="O29"/>
  <c r="O33"/>
  <c r="D34"/>
  <c r="D99" s="1"/>
  <c r="F34"/>
  <c r="H34"/>
  <c r="J34"/>
  <c r="L34"/>
  <c r="N34"/>
  <c r="C68"/>
  <c r="E68"/>
  <c r="G68"/>
  <c r="I68"/>
  <c r="K68"/>
  <c r="M68"/>
  <c r="O68"/>
  <c r="O8"/>
  <c r="O18"/>
  <c r="O20"/>
  <c r="O22"/>
  <c r="O28"/>
  <c r="E68" i="11"/>
  <c r="D68"/>
  <c r="C68"/>
  <c r="P66" i="10"/>
  <c r="F68"/>
  <c r="P56"/>
  <c r="O66" i="11"/>
  <c r="O56"/>
  <c r="O46"/>
  <c r="C101" i="14" l="1"/>
  <c r="E101"/>
  <c r="O99"/>
  <c r="O79"/>
  <c r="P68" i="10"/>
  <c r="N36" i="14"/>
  <c r="J36"/>
  <c r="F36"/>
  <c r="O34"/>
  <c r="O24"/>
  <c r="O14"/>
  <c r="L36"/>
  <c r="H36"/>
  <c r="D36"/>
  <c r="D101" s="1"/>
  <c r="O68" i="11"/>
  <c r="N4" i="12"/>
  <c r="M4"/>
  <c r="L4"/>
  <c r="K4"/>
  <c r="J4"/>
  <c r="I4"/>
  <c r="H4"/>
  <c r="G4"/>
  <c r="F4"/>
  <c r="E4"/>
  <c r="D4"/>
  <c r="C4"/>
  <c r="O9"/>
  <c r="O5"/>
  <c r="N33" i="11"/>
  <c r="M33"/>
  <c r="L33"/>
  <c r="K33"/>
  <c r="J33"/>
  <c r="I33"/>
  <c r="H33"/>
  <c r="G33"/>
  <c r="F33"/>
  <c r="E33"/>
  <c r="E98" s="1"/>
  <c r="D33"/>
  <c r="D98" s="1"/>
  <c r="N29"/>
  <c r="M29"/>
  <c r="L29"/>
  <c r="K29"/>
  <c r="J29"/>
  <c r="I29"/>
  <c r="H29"/>
  <c r="G29"/>
  <c r="F29"/>
  <c r="E29"/>
  <c r="E94" s="1"/>
  <c r="D29"/>
  <c r="D94" s="1"/>
  <c r="N28"/>
  <c r="M28"/>
  <c r="L28"/>
  <c r="K28"/>
  <c r="J28"/>
  <c r="I28"/>
  <c r="H28"/>
  <c r="G28"/>
  <c r="F28"/>
  <c r="E28"/>
  <c r="E93" s="1"/>
  <c r="D28"/>
  <c r="D93" s="1"/>
  <c r="N27"/>
  <c r="M27"/>
  <c r="L27"/>
  <c r="K27"/>
  <c r="J27"/>
  <c r="I27"/>
  <c r="H27"/>
  <c r="G27"/>
  <c r="F27"/>
  <c r="E27"/>
  <c r="E92" s="1"/>
  <c r="D27"/>
  <c r="D92" s="1"/>
  <c r="C33"/>
  <c r="C98" s="1"/>
  <c r="O98" s="1"/>
  <c r="C29"/>
  <c r="C94" s="1"/>
  <c r="C28"/>
  <c r="C93" s="1"/>
  <c r="C27"/>
  <c r="C92" s="1"/>
  <c r="N23"/>
  <c r="M23"/>
  <c r="L23"/>
  <c r="K23"/>
  <c r="J23"/>
  <c r="I23"/>
  <c r="H23"/>
  <c r="G23"/>
  <c r="F23"/>
  <c r="E23"/>
  <c r="E88" s="1"/>
  <c r="D23"/>
  <c r="D88" s="1"/>
  <c r="N18"/>
  <c r="M18"/>
  <c r="L18"/>
  <c r="K18"/>
  <c r="J18"/>
  <c r="I18"/>
  <c r="H18"/>
  <c r="G18"/>
  <c r="F18"/>
  <c r="E18"/>
  <c r="E83" s="1"/>
  <c r="D18"/>
  <c r="D83" s="1"/>
  <c r="N17"/>
  <c r="M17"/>
  <c r="L17"/>
  <c r="K17"/>
  <c r="J17"/>
  <c r="I17"/>
  <c r="H17"/>
  <c r="G17"/>
  <c r="F17"/>
  <c r="E17"/>
  <c r="E82" s="1"/>
  <c r="D17"/>
  <c r="D82" s="1"/>
  <c r="O82" s="1"/>
  <c r="C23"/>
  <c r="C88" s="1"/>
  <c r="C18"/>
  <c r="C83" s="1"/>
  <c r="C17"/>
  <c r="C82" s="1"/>
  <c r="N9"/>
  <c r="M9"/>
  <c r="L9"/>
  <c r="K9"/>
  <c r="J9"/>
  <c r="I9"/>
  <c r="H9"/>
  <c r="G9"/>
  <c r="F9"/>
  <c r="E9"/>
  <c r="E74" s="1"/>
  <c r="D9"/>
  <c r="D74" s="1"/>
  <c r="N8"/>
  <c r="M8"/>
  <c r="L8"/>
  <c r="K8"/>
  <c r="J8"/>
  <c r="I8"/>
  <c r="H8"/>
  <c r="G8"/>
  <c r="F8"/>
  <c r="E8"/>
  <c r="E73" s="1"/>
  <c r="D8"/>
  <c r="D73" s="1"/>
  <c r="N7"/>
  <c r="M7"/>
  <c r="L7"/>
  <c r="K7"/>
  <c r="J7"/>
  <c r="I7"/>
  <c r="H7"/>
  <c r="G7"/>
  <c r="F7"/>
  <c r="E7"/>
  <c r="E72" s="1"/>
  <c r="D7"/>
  <c r="D72" s="1"/>
  <c r="O72" s="1"/>
  <c r="C9"/>
  <c r="C74" s="1"/>
  <c r="C8"/>
  <c r="C73" s="1"/>
  <c r="C7"/>
  <c r="C72" s="1"/>
  <c r="O6" i="12"/>
  <c r="N6"/>
  <c r="M6"/>
  <c r="L6"/>
  <c r="K6"/>
  <c r="J6"/>
  <c r="I6"/>
  <c r="H6"/>
  <c r="G6"/>
  <c r="F6"/>
  <c r="E6"/>
  <c r="D6"/>
  <c r="C6"/>
  <c r="O33" i="11"/>
  <c r="O32"/>
  <c r="O31"/>
  <c r="O30"/>
  <c r="O29"/>
  <c r="O28"/>
  <c r="N34"/>
  <c r="M34"/>
  <c r="L34"/>
  <c r="K34"/>
  <c r="J34"/>
  <c r="I34"/>
  <c r="H34"/>
  <c r="G34"/>
  <c r="F34"/>
  <c r="E34"/>
  <c r="E99" s="1"/>
  <c r="D34"/>
  <c r="D99" s="1"/>
  <c r="C34"/>
  <c r="C99" s="1"/>
  <c r="O23"/>
  <c r="O22"/>
  <c r="O21"/>
  <c r="O20"/>
  <c r="O19"/>
  <c r="O18"/>
  <c r="N24"/>
  <c r="M24"/>
  <c r="L24"/>
  <c r="K24"/>
  <c r="J24"/>
  <c r="I24"/>
  <c r="H24"/>
  <c r="G24"/>
  <c r="F24"/>
  <c r="E24"/>
  <c r="E89" s="1"/>
  <c r="D24"/>
  <c r="D89" s="1"/>
  <c r="C24"/>
  <c r="C89" s="1"/>
  <c r="O13"/>
  <c r="O12"/>
  <c r="O11"/>
  <c r="O10"/>
  <c r="O8"/>
  <c r="N14"/>
  <c r="M14"/>
  <c r="L14"/>
  <c r="K14"/>
  <c r="J14"/>
  <c r="I14"/>
  <c r="H14"/>
  <c r="G14"/>
  <c r="F14"/>
  <c r="E14"/>
  <c r="E79" s="1"/>
  <c r="D14"/>
  <c r="D79" s="1"/>
  <c r="N15" i="9"/>
  <c r="M15"/>
  <c r="L15"/>
  <c r="K15"/>
  <c r="J15"/>
  <c r="I15"/>
  <c r="H15"/>
  <c r="G15"/>
  <c r="F15"/>
  <c r="O101" i="14" l="1"/>
  <c r="O74" i="11"/>
  <c r="O88"/>
  <c r="O93"/>
  <c r="O73"/>
  <c r="O79" s="1"/>
  <c r="O83"/>
  <c r="O89" s="1"/>
  <c r="O92"/>
  <c r="O99" s="1"/>
  <c r="O94"/>
  <c r="D15" i="9"/>
  <c r="E15"/>
  <c r="O36" i="14"/>
  <c r="O9" i="11"/>
  <c r="C14"/>
  <c r="C79" s="1"/>
  <c r="C36"/>
  <c r="C101" s="1"/>
  <c r="E36"/>
  <c r="E101" s="1"/>
  <c r="G36"/>
  <c r="I36"/>
  <c r="K36"/>
  <c r="M36"/>
  <c r="D36"/>
  <c r="D101" s="1"/>
  <c r="F36"/>
  <c r="H36"/>
  <c r="J36"/>
  <c r="L36"/>
  <c r="N36"/>
  <c r="O7"/>
  <c r="O14" s="1"/>
  <c r="O17"/>
  <c r="O24" s="1"/>
  <c r="O27"/>
  <c r="O34" s="1"/>
  <c r="O101" l="1"/>
  <c r="O36"/>
  <c r="S12" i="9" l="1"/>
  <c r="R12"/>
  <c r="Q12"/>
  <c r="P12"/>
  <c r="S8"/>
  <c r="R8"/>
  <c r="Q8"/>
  <c r="P8"/>
  <c r="N7" i="10"/>
  <c r="N22"/>
  <c r="N24" s="1"/>
  <c r="N33"/>
  <c r="M33"/>
  <c r="L33"/>
  <c r="K33"/>
  <c r="J33"/>
  <c r="I33"/>
  <c r="H33"/>
  <c r="G33"/>
  <c r="F33"/>
  <c r="E33"/>
  <c r="E98" s="1"/>
  <c r="D33"/>
  <c r="D98" s="1"/>
  <c r="N29"/>
  <c r="M29"/>
  <c r="L29"/>
  <c r="K29"/>
  <c r="J29"/>
  <c r="I29"/>
  <c r="H29"/>
  <c r="G29"/>
  <c r="F29"/>
  <c r="E29"/>
  <c r="E94" s="1"/>
  <c r="D29"/>
  <c r="D94" s="1"/>
  <c r="C29"/>
  <c r="C94" s="1"/>
  <c r="N28"/>
  <c r="N34" s="1"/>
  <c r="M28"/>
  <c r="L28"/>
  <c r="L34" s="1"/>
  <c r="K28"/>
  <c r="J28"/>
  <c r="J34" s="1"/>
  <c r="I28"/>
  <c r="H28"/>
  <c r="H34" s="1"/>
  <c r="G28"/>
  <c r="F28"/>
  <c r="F34" s="1"/>
  <c r="E28"/>
  <c r="E93" s="1"/>
  <c r="D28"/>
  <c r="D93" s="1"/>
  <c r="C28"/>
  <c r="C93" s="1"/>
  <c r="O32"/>
  <c r="O31"/>
  <c r="O30"/>
  <c r="O28"/>
  <c r="N27"/>
  <c r="M27"/>
  <c r="L27"/>
  <c r="K27"/>
  <c r="J27"/>
  <c r="I27"/>
  <c r="H27"/>
  <c r="G27"/>
  <c r="F27"/>
  <c r="E27"/>
  <c r="E92" s="1"/>
  <c r="D27"/>
  <c r="D92" s="1"/>
  <c r="C27"/>
  <c r="C33"/>
  <c r="N23"/>
  <c r="M23"/>
  <c r="L23"/>
  <c r="K23"/>
  <c r="J23"/>
  <c r="I23"/>
  <c r="H23"/>
  <c r="G23"/>
  <c r="F23"/>
  <c r="E23"/>
  <c r="E88" s="1"/>
  <c r="D23"/>
  <c r="D88" s="1"/>
  <c r="M22"/>
  <c r="L22"/>
  <c r="L24" s="1"/>
  <c r="K22"/>
  <c r="J22"/>
  <c r="J24" s="1"/>
  <c r="I22"/>
  <c r="H22"/>
  <c r="H24" s="1"/>
  <c r="G22"/>
  <c r="F22"/>
  <c r="F24" s="1"/>
  <c r="E22"/>
  <c r="E87" s="1"/>
  <c r="D22"/>
  <c r="D87" s="1"/>
  <c r="C23"/>
  <c r="C88" s="1"/>
  <c r="C22"/>
  <c r="C87" s="1"/>
  <c r="O87" s="1"/>
  <c r="N18"/>
  <c r="M18"/>
  <c r="L18"/>
  <c r="K18"/>
  <c r="J18"/>
  <c r="I18"/>
  <c r="H18"/>
  <c r="G18"/>
  <c r="F18"/>
  <c r="E18"/>
  <c r="E83" s="1"/>
  <c r="D18"/>
  <c r="D83" s="1"/>
  <c r="C18"/>
  <c r="C83" s="1"/>
  <c r="O83" s="1"/>
  <c r="O22"/>
  <c r="O21"/>
  <c r="O20"/>
  <c r="O19"/>
  <c r="O18"/>
  <c r="N17"/>
  <c r="M17"/>
  <c r="L17"/>
  <c r="K17"/>
  <c r="J17"/>
  <c r="I17"/>
  <c r="H17"/>
  <c r="G17"/>
  <c r="F17"/>
  <c r="E17"/>
  <c r="E82" s="1"/>
  <c r="D17"/>
  <c r="D82" s="1"/>
  <c r="C17"/>
  <c r="M34"/>
  <c r="K34"/>
  <c r="I34"/>
  <c r="G34"/>
  <c r="E34"/>
  <c r="E99" s="1"/>
  <c r="C34"/>
  <c r="C99" s="1"/>
  <c r="M24"/>
  <c r="K24"/>
  <c r="I24"/>
  <c r="G24"/>
  <c r="E24"/>
  <c r="E89" s="1"/>
  <c r="C24"/>
  <c r="C89" s="1"/>
  <c r="N9"/>
  <c r="M9"/>
  <c r="L9"/>
  <c r="K9"/>
  <c r="J9"/>
  <c r="I9"/>
  <c r="H9"/>
  <c r="G9"/>
  <c r="F9"/>
  <c r="E9"/>
  <c r="E74" s="1"/>
  <c r="D9"/>
  <c r="D74" s="1"/>
  <c r="C9"/>
  <c r="C74" s="1"/>
  <c r="O74" s="1"/>
  <c r="O13"/>
  <c r="O12"/>
  <c r="O11"/>
  <c r="O10"/>
  <c r="N8"/>
  <c r="N14" s="1"/>
  <c r="M8"/>
  <c r="L8"/>
  <c r="K8"/>
  <c r="J8"/>
  <c r="I8"/>
  <c r="H8"/>
  <c r="G8"/>
  <c r="F8"/>
  <c r="E8"/>
  <c r="E73" s="1"/>
  <c r="D8"/>
  <c r="D73" s="1"/>
  <c r="C8"/>
  <c r="C73" s="1"/>
  <c r="M7"/>
  <c r="M14" s="1"/>
  <c r="L7"/>
  <c r="K7"/>
  <c r="K14" s="1"/>
  <c r="J7"/>
  <c r="I7"/>
  <c r="I14" s="1"/>
  <c r="H7"/>
  <c r="G7"/>
  <c r="G14" s="1"/>
  <c r="F7"/>
  <c r="E7"/>
  <c r="D7"/>
  <c r="C7"/>
  <c r="O12" i="9"/>
  <c r="D11" i="4"/>
  <c r="E11"/>
  <c r="F11"/>
  <c r="G11"/>
  <c r="H11"/>
  <c r="I11"/>
  <c r="J11"/>
  <c r="K11"/>
  <c r="L11"/>
  <c r="M11"/>
  <c r="N11"/>
  <c r="C11"/>
  <c r="N15"/>
  <c r="M15"/>
  <c r="L15"/>
  <c r="K15"/>
  <c r="J15"/>
  <c r="I15"/>
  <c r="H15"/>
  <c r="G15"/>
  <c r="F15"/>
  <c r="E15"/>
  <c r="D15"/>
  <c r="C15"/>
  <c r="C17" s="1"/>
  <c r="D5" s="1"/>
  <c r="N13"/>
  <c r="M13"/>
  <c r="L13"/>
  <c r="K13"/>
  <c r="J13"/>
  <c r="I13"/>
  <c r="H13"/>
  <c r="G13"/>
  <c r="F13"/>
  <c r="E13"/>
  <c r="D13"/>
  <c r="C13"/>
  <c r="N9"/>
  <c r="M9"/>
  <c r="L9"/>
  <c r="K9"/>
  <c r="J9"/>
  <c r="I9"/>
  <c r="H9"/>
  <c r="G9"/>
  <c r="F9"/>
  <c r="E9"/>
  <c r="D9"/>
  <c r="C9"/>
  <c r="O9" s="1"/>
  <c r="D11" i="3"/>
  <c r="E11"/>
  <c r="F11"/>
  <c r="G11"/>
  <c r="H11"/>
  <c r="I11"/>
  <c r="J11"/>
  <c r="K11"/>
  <c r="L11"/>
  <c r="M11"/>
  <c r="N11"/>
  <c r="C11"/>
  <c r="N15"/>
  <c r="M15"/>
  <c r="L15"/>
  <c r="K15"/>
  <c r="J15"/>
  <c r="I15"/>
  <c r="H15"/>
  <c r="G15"/>
  <c r="F15"/>
  <c r="E15"/>
  <c r="D15"/>
  <c r="C15"/>
  <c r="C17" s="1"/>
  <c r="D5" s="1"/>
  <c r="N13"/>
  <c r="M13"/>
  <c r="L13"/>
  <c r="K13"/>
  <c r="J13"/>
  <c r="I13"/>
  <c r="H13"/>
  <c r="G13"/>
  <c r="F13"/>
  <c r="E13"/>
  <c r="D13"/>
  <c r="C13"/>
  <c r="O13" s="1"/>
  <c r="N9"/>
  <c r="M9"/>
  <c r="L9"/>
  <c r="K9"/>
  <c r="J9"/>
  <c r="I9"/>
  <c r="H9"/>
  <c r="G9"/>
  <c r="F9"/>
  <c r="E9"/>
  <c r="D9"/>
  <c r="C9"/>
  <c r="O9" s="1"/>
  <c r="O13" i="4" l="1"/>
  <c r="C14" i="10"/>
  <c r="C79" s="1"/>
  <c r="C72"/>
  <c r="E14"/>
  <c r="E79" s="1"/>
  <c r="E72"/>
  <c r="O17"/>
  <c r="C82"/>
  <c r="O82" s="1"/>
  <c r="O27"/>
  <c r="C92"/>
  <c r="O92" s="1"/>
  <c r="D14"/>
  <c r="D79" s="1"/>
  <c r="D72"/>
  <c r="O33"/>
  <c r="C98"/>
  <c r="O98" s="1"/>
  <c r="O8"/>
  <c r="F14"/>
  <c r="H14"/>
  <c r="J14"/>
  <c r="L14"/>
  <c r="L36" s="1"/>
  <c r="L11" i="9" s="1"/>
  <c r="L13" s="1"/>
  <c r="O73" i="10"/>
  <c r="O9"/>
  <c r="D24"/>
  <c r="D89" s="1"/>
  <c r="D34"/>
  <c r="D99" s="1"/>
  <c r="O23"/>
  <c r="O88"/>
  <c r="O29"/>
  <c r="O93"/>
  <c r="O94"/>
  <c r="Q15" i="9"/>
  <c r="Q17" s="1"/>
  <c r="S15"/>
  <c r="S17" s="1"/>
  <c r="R15"/>
  <c r="R17" s="1"/>
  <c r="C15"/>
  <c r="C17" s="1"/>
  <c r="D5" s="1"/>
  <c r="D17" s="1"/>
  <c r="E5" s="1"/>
  <c r="E17" s="1"/>
  <c r="P15"/>
  <c r="P17" s="1"/>
  <c r="O7" i="10"/>
  <c r="O8" i="9"/>
  <c r="O24" i="10"/>
  <c r="H36"/>
  <c r="H11" i="9" s="1"/>
  <c r="H13" s="1"/>
  <c r="O14" i="10"/>
  <c r="G36"/>
  <c r="G11" i="9" s="1"/>
  <c r="G13" s="1"/>
  <c r="I36" i="10"/>
  <c r="I11" i="9" s="1"/>
  <c r="K36" i="10"/>
  <c r="K11" i="9" s="1"/>
  <c r="K13" s="1"/>
  <c r="M36" i="10"/>
  <c r="M11" i="9" s="1"/>
  <c r="M13" s="1"/>
  <c r="F36" i="10"/>
  <c r="F11" i="9" s="1"/>
  <c r="F13" s="1"/>
  <c r="J36" i="10"/>
  <c r="J11" i="9" s="1"/>
  <c r="J13" s="1"/>
  <c r="N36" i="10"/>
  <c r="N11" i="9" s="1"/>
  <c r="N13" s="1"/>
  <c r="C36" i="10"/>
  <c r="D17" i="4"/>
  <c r="E5" s="1"/>
  <c r="D17" i="3"/>
  <c r="E5" s="1"/>
  <c r="D11" i="2"/>
  <c r="D13" s="1"/>
  <c r="E11"/>
  <c r="F11"/>
  <c r="F13" s="1"/>
  <c r="G11"/>
  <c r="G13" s="1"/>
  <c r="H11"/>
  <c r="H13" s="1"/>
  <c r="I11"/>
  <c r="J11"/>
  <c r="J13" s="1"/>
  <c r="K11"/>
  <c r="K13" s="1"/>
  <c r="L11"/>
  <c r="L13" s="1"/>
  <c r="M11"/>
  <c r="N11"/>
  <c r="N13" s="1"/>
  <c r="C11"/>
  <c r="C13" s="1"/>
  <c r="N9"/>
  <c r="N15"/>
  <c r="M15"/>
  <c r="L15"/>
  <c r="K15"/>
  <c r="J15"/>
  <c r="I15"/>
  <c r="H15"/>
  <c r="G15"/>
  <c r="F15"/>
  <c r="E15"/>
  <c r="D15"/>
  <c r="C15"/>
  <c r="C17" s="1"/>
  <c r="D5" s="1"/>
  <c r="M13"/>
  <c r="I13"/>
  <c r="E13"/>
  <c r="M9"/>
  <c r="L9"/>
  <c r="K9"/>
  <c r="J9"/>
  <c r="I9"/>
  <c r="H9"/>
  <c r="G9"/>
  <c r="F9"/>
  <c r="E9"/>
  <c r="D9"/>
  <c r="C9"/>
  <c r="O13" l="1"/>
  <c r="F19" i="9"/>
  <c r="O9" i="2"/>
  <c r="E17" i="4"/>
  <c r="F5" s="1"/>
  <c r="C11" i="9"/>
  <c r="C13" s="1"/>
  <c r="C101" i="10"/>
  <c r="O34"/>
  <c r="O36" s="1"/>
  <c r="E36"/>
  <c r="D36"/>
  <c r="O99"/>
  <c r="O89"/>
  <c r="O72"/>
  <c r="O79" s="1"/>
  <c r="O15" i="9"/>
  <c r="E17" i="3"/>
  <c r="F5" s="1"/>
  <c r="Q11" i="9"/>
  <c r="Q13" s="1"/>
  <c r="R11"/>
  <c r="R13" s="1"/>
  <c r="I13"/>
  <c r="S11"/>
  <c r="S13" s="1"/>
  <c r="F5"/>
  <c r="F17" s="1"/>
  <c r="D17" i="2"/>
  <c r="E5" s="1"/>
  <c r="F17" i="3" l="1"/>
  <c r="G5" s="1"/>
  <c r="G17" s="1"/>
  <c r="H5" s="1"/>
  <c r="H17" s="1"/>
  <c r="I5" s="1"/>
  <c r="I17" s="1"/>
  <c r="J5" s="1"/>
  <c r="J17" s="1"/>
  <c r="K5" s="1"/>
  <c r="K17" s="1"/>
  <c r="L5" s="1"/>
  <c r="L17" s="1"/>
  <c r="M5" s="1"/>
  <c r="M17" s="1"/>
  <c r="N5" s="1"/>
  <c r="N17" s="1"/>
  <c r="F19"/>
  <c r="G19" s="1"/>
  <c r="H19" s="1"/>
  <c r="I19" s="1"/>
  <c r="J19" s="1"/>
  <c r="K19" s="1"/>
  <c r="L19" s="1"/>
  <c r="M19" s="1"/>
  <c r="N19" s="1"/>
  <c r="P19" s="1"/>
  <c r="F17" i="4"/>
  <c r="G5" s="1"/>
  <c r="G17" s="1"/>
  <c r="H5" s="1"/>
  <c r="H17" s="1"/>
  <c r="I5" s="1"/>
  <c r="I17" s="1"/>
  <c r="J5" s="1"/>
  <c r="J17" s="1"/>
  <c r="K5" s="1"/>
  <c r="K17" s="1"/>
  <c r="L5" s="1"/>
  <c r="L17" s="1"/>
  <c r="M5" s="1"/>
  <c r="M17" s="1"/>
  <c r="N5" s="1"/>
  <c r="N17" s="1"/>
  <c r="F19"/>
  <c r="G19" s="1"/>
  <c r="H19" s="1"/>
  <c r="I19" s="1"/>
  <c r="J19" s="1"/>
  <c r="K19" s="1"/>
  <c r="L19" s="1"/>
  <c r="M19" s="1"/>
  <c r="N19" s="1"/>
  <c r="E17" i="2"/>
  <c r="F5" s="1"/>
  <c r="D11" i="9"/>
  <c r="D101" i="10"/>
  <c r="E11" i="9"/>
  <c r="E101" i="10"/>
  <c r="O101"/>
  <c r="G5" i="9"/>
  <c r="G17" s="1"/>
  <c r="F17" i="2" l="1"/>
  <c r="G5" s="1"/>
  <c r="G17" s="1"/>
  <c r="H5" s="1"/>
  <c r="H17" s="1"/>
  <c r="I5" s="1"/>
  <c r="I17" s="1"/>
  <c r="J5" s="1"/>
  <c r="J17" s="1"/>
  <c r="K5" s="1"/>
  <c r="K17" s="1"/>
  <c r="L5" s="1"/>
  <c r="L17" s="1"/>
  <c r="M5" s="1"/>
  <c r="M17" s="1"/>
  <c r="N5" s="1"/>
  <c r="N17" s="1"/>
  <c r="F19"/>
  <c r="G19" s="1"/>
  <c r="H19" s="1"/>
  <c r="I19" s="1"/>
  <c r="J19" s="1"/>
  <c r="K19" s="1"/>
  <c r="L19" s="1"/>
  <c r="M19" s="1"/>
  <c r="N19" s="1"/>
  <c r="P19" s="1"/>
  <c r="E13" i="9"/>
  <c r="D13"/>
  <c r="O11"/>
  <c r="P11"/>
  <c r="P13" s="1"/>
  <c r="H5"/>
  <c r="H17" s="1"/>
  <c r="O13" l="1"/>
  <c r="I5"/>
  <c r="I17" s="1"/>
  <c r="J5" l="1"/>
  <c r="J17" s="1"/>
  <c r="K5" l="1"/>
  <c r="K17" s="1"/>
  <c r="L5" l="1"/>
  <c r="L17" s="1"/>
  <c r="M5" l="1"/>
  <c r="M17" s="1"/>
  <c r="N5" l="1"/>
  <c r="N17" s="1"/>
  <c r="O10" i="12" l="1"/>
  <c r="M8"/>
  <c r="M10" s="1"/>
  <c r="K8"/>
  <c r="K10" s="1"/>
  <c r="I8"/>
  <c r="I10" s="1"/>
  <c r="G8"/>
  <c r="G10" s="1"/>
  <c r="E8"/>
  <c r="E10" s="1"/>
  <c r="C10"/>
  <c r="N8"/>
  <c r="N10"/>
  <c r="L8"/>
  <c r="L10"/>
  <c r="J8"/>
  <c r="J10"/>
  <c r="H8"/>
  <c r="H10"/>
  <c r="F8"/>
  <c r="F10"/>
  <c r="C8"/>
  <c r="D8"/>
  <c r="D10" s="1"/>
  <c r="G9" i="9" l="1"/>
  <c r="S7"/>
  <c r="S9" s="1"/>
  <c r="K9"/>
  <c r="N9"/>
  <c r="F9"/>
  <c r="D9"/>
  <c r="O7"/>
  <c r="C9"/>
  <c r="H9"/>
  <c r="J9"/>
  <c r="M9"/>
  <c r="I9"/>
  <c r="R7"/>
  <c r="R9" s="1"/>
  <c r="E9"/>
  <c r="G19" l="1"/>
  <c r="H19" s="1"/>
  <c r="I19" s="1"/>
  <c r="J19" s="1"/>
  <c r="K19" s="1"/>
  <c r="L19" s="1"/>
  <c r="M19" s="1"/>
  <c r="N19" s="1"/>
  <c r="P19" s="1"/>
  <c r="Q7"/>
  <c r="Q9" s="1"/>
  <c r="P7"/>
  <c r="P9" s="1"/>
  <c r="L9"/>
  <c r="O9" s="1"/>
</calcChain>
</file>

<file path=xl/comments1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<sst xmlns="http://schemas.openxmlformats.org/spreadsheetml/2006/main" count="702" uniqueCount="107">
  <si>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</si>
  <si>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</si>
  <si>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</si>
  <si>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</si>
  <si>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</si>
  <si>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</si>
  <si>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</si>
  <si>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</si>
  <si>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</si>
  <si>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</si>
  <si>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</si>
  <si>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</si>
  <si>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</si>
  <si>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</si>
  <si>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</si>
  <si>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</si>
  <si>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</si>
  <si>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</si>
  <si>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</si>
  <si>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</si>
  <si>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</si>
  <si>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</si>
  <si>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</si>
  <si>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</si>
  <si>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</si>
  <si>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</si>
  <si>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</si>
  <si>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</si>
  <si>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Jan - Under collections of nearly $11k in tariff rider due to warmer than budgeted weather.  Actual expenditures were less than budget by $16k.  Reduced the underfunded tariff rider balance by $251k.</t>
  </si>
  <si>
    <t>Feb - Under collections of $11k in tariff rider due to warmer than budgeted weather.  Actual non-incentive expenditures exceed budget by $15k.  Underfunded tariff rider balance reduced by $137k.</t>
  </si>
  <si>
    <t>Projected Tariff Rider Balance</t>
  </si>
  <si>
    <t>Total 2010</t>
  </si>
  <si>
    <t>Total 2011</t>
  </si>
  <si>
    <t>Projected and Actual kWh</t>
  </si>
  <si>
    <t>Non-residential</t>
  </si>
  <si>
    <t>Residential</t>
  </si>
  <si>
    <t>Limited Income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</si>
  <si>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</si>
  <si>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</si>
  <si>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</si>
  <si>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</si>
  <si>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</si>
  <si>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</si>
  <si>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Total Actual-Labor Funding</t>
  </si>
  <si>
    <t>Budget-Actual Variance</t>
  </si>
  <si>
    <t>Total Variance</t>
  </si>
  <si>
    <t>I-Direct Customer Incentives:</t>
  </si>
  <si>
    <t>DSM Functional Categories</t>
  </si>
  <si>
    <t>Total Budget-Labor Funding</t>
  </si>
  <si>
    <t>Total Budget-Non-labor, Non-incentive</t>
  </si>
  <si>
    <t>kWh Savings-Forecasted</t>
  </si>
  <si>
    <t>kWh Savings-Actual</t>
  </si>
  <si>
    <t>Variance (%)</t>
  </si>
  <si>
    <t>Jan - Under collections of $96k in tariff rider due to heating degree days being 19% below historical thereby causing retail consumption to be down by 13%.  In spite of the less than forecasted consumption, the Washington electric tariff rider balance was reduced by $533k.</t>
  </si>
  <si>
    <t>Feb - Under collection of $91k in tariff rider due to heating degree days being 17% warmer than historical normal resulting in 8% lower consumption as compared with forecast.  In spite of less than forecasted consumption (less tariff rider collections), tariff rider balance was reduced by $608k.</t>
  </si>
  <si>
    <t>Therm Savings-Actual</t>
  </si>
  <si>
    <t>Therm Savings-Forecasted</t>
  </si>
  <si>
    <t xml:space="preserve">Washington Natural Gas Schedule 191 </t>
  </si>
  <si>
    <t>Notes:</t>
  </si>
  <si>
    <t xml:space="preserve">Idaho Natural Gas Schedule 191 </t>
  </si>
  <si>
    <t>Variance explanations:</t>
  </si>
  <si>
    <t>Jan - 79% of the unfavorable variance is due to the payment of nearly $72k more in incentives than budgeted.  Remainder of unfavorable variance was attributable spending of more implementation costs than budgeted.</t>
  </si>
  <si>
    <t>Feb - 91% of the unfavorable variance is due to the payment of over $169k more in incentives than budgeted.  Remainder of unfavorable variance was attributable spending of more implementation costs than budgeted.</t>
  </si>
  <si>
    <t>Feb - in spite of paying more than $69k in incentives as compared with budget, we still had a favorable variance of $173k.</t>
  </si>
  <si>
    <t>Mar - 51% of unfavorable variance was due to paying more than $226k in incentives as compared with budget.  Remainder of the $220k unfavorable variance is due to implementation expenditures that didn't occur in February as budgeted.</t>
  </si>
  <si>
    <t>Mar - 90% of the unfavorable variance is due to the payment of over $108k more in incentives than budgeted.  Remainder of unfavorable variance was attributable spending of more implementation costs than budgeted.</t>
  </si>
  <si>
    <t>Jan - $16k favorable variance due to less incentives processed as compared with budget.</t>
  </si>
  <si>
    <t>1) Some items such as labor charged to a common WA-ID project when allocated to the individual states loses it's "labor" distinction and appears as a general implementation expense.  This explains the variances between non-labor/non-incentive and labor.</t>
  </si>
  <si>
    <t>2) DSM expenditures are budgeted on a annual basis and spread monthly on an equal basis.  This timing difference between budget vs actual could attribute to some variances</t>
  </si>
  <si>
    <t>1st Qtr</t>
  </si>
  <si>
    <t>2nd Qtr</t>
  </si>
  <si>
    <t>3rd Qtr</t>
  </si>
  <si>
    <t>4th Qtr</t>
  </si>
  <si>
    <t>Jan - Under collections of $86k in tariff rider due to heating degree days being 19% below historical thereby causing retail consumption to be down by 13%.  In spite of the less than forecasted consumption, the Washington electric tariff rider balance was reduced by $378k.</t>
  </si>
  <si>
    <t>Feb - Under collection of $106k in tariff rider due to heating degree days being 17% warmer than historical normal resulting in 8% lower consumption as compared with forecast.  In spite of less than forecasted consumption (less tariff rider collections), tariff rider balance was reduced by $68k.</t>
  </si>
  <si>
    <t>Jan - $77k unfavorable variance due to paying $128k more in incentives than budgeted.</t>
  </si>
  <si>
    <t>Mar - Under collection of $65k in tariff rider (degree day results weren't available in time for this report), tariff rider balance increased by $83k due to the timing of February expenditures occuring in March.</t>
  </si>
  <si>
    <t xml:space="preserve">Mar - in spite of paying $108k more than budgeted in incentives, but reduced the tariff rider balance by $101k.  </t>
  </si>
  <si>
    <t>Jan - $347k unfavorable variance due to paying $364k more in incentives than budgeted.</t>
  </si>
  <si>
    <t>Feb - $194k favorable variance mostly due to paying less incentives than budgeted (January's large amount of incentives probably causing February to be lower).</t>
  </si>
  <si>
    <t>Mar - $45k unfavorable variance due to the payment of $86k more in incentives than budgeted.</t>
  </si>
  <si>
    <t>Jan - tariff rider balance increased by $48k due to the payment of $364k more in incentives than budgeted.</t>
  </si>
  <si>
    <t>Feb - reduced the tariff rider balance by $408k  mostly due to the processing of less incentives than budgeted (higher January month most likely contributed to the lower February processing of incentives).</t>
  </si>
  <si>
    <t>Feb - $7k unfavorable variance due to spending more on implementation costs as compared with budget.</t>
  </si>
  <si>
    <t>Mar - $44k favorable variance probably due to the processing of less incentives as compared with budget.</t>
  </si>
  <si>
    <t>Mar - Under collections of $4k in tariff rider.  Actual expenditures were less than budget by $44k.  Underfunded tariff rider balance reduced by $142k.</t>
  </si>
  <si>
    <t>Mar - reduced tariff rider underfunded balance by $110k, due to processing $86k less incentives as compared with budget.</t>
  </si>
  <si>
    <t>DSM Budget-Direct Customer Incentives:</t>
  </si>
  <si>
    <t>DSM Budget Non-Labor, Non-Incentive Funding:</t>
  </si>
  <si>
    <t>DSM Budget-Labor Funding:</t>
  </si>
  <si>
    <t>2010 Aggregate DSM Budget</t>
  </si>
  <si>
    <t>DSM Actual-Direct Customer Incentives:</t>
  </si>
  <si>
    <t>DSM Actual-Non-Labor, Non-Incentive Funding:</t>
  </si>
  <si>
    <t>DSM Actual-Non-Labor, Non-Incentive Funding</t>
  </si>
  <si>
    <t>DSM Actual-Labor Funding:</t>
  </si>
  <si>
    <t>2010 Aggregate DSM Actual</t>
  </si>
  <si>
    <t>Direct Customer Incentives:</t>
  </si>
  <si>
    <t>Non-Labor, Non-Incentive Funding:</t>
  </si>
  <si>
    <t>DSM Labor Funding:</t>
  </si>
  <si>
    <t>[a]+[b]+[c]</t>
  </si>
  <si>
    <t>[e]</t>
  </si>
  <si>
    <t>[f]</t>
  </si>
  <si>
    <t>[d]+[e]+[f]</t>
  </si>
  <si>
    <t>[a]-[d]</t>
  </si>
  <si>
    <t>[b]-[e]</t>
  </si>
  <si>
    <t>[c]-[f]</t>
  </si>
  <si>
    <t>Washington/Idaho Savings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</si>
</sst>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10" fontId="0" fillId="0" borderId="1" xfId="3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44" fontId="10" fillId="0" borderId="1" xfId="2" applyFont="1" applyBorder="1"/>
    <xf numFmtId="44" fontId="12" fillId="0" borderId="2" xfId="2" applyFont="1" applyBorder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2" fillId="0" borderId="0" xfId="0" applyFont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165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164" fontId="14" fillId="2" borderId="1" xfId="0" applyNumberFormat="1" applyFont="1" applyFill="1" applyBorder="1"/>
    <xf numFmtId="164" fontId="14" fillId="2" borderId="1" xfId="1" applyNumberFormat="1" applyFont="1" applyFill="1" applyBorder="1"/>
    <xf numFmtId="164" fontId="14" fillId="2" borderId="0" xfId="1" applyNumberFormat="1" applyFont="1" applyFill="1"/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  <xf numFmtId="0" fontId="13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BD10"/>
  <sheetViews>
    <sheetView tabSelected="1" topLeftCell="B1" workbookViewId="0">
      <selection activeCell="C15" sqref="C15"/>
    </sheetView>
  </sheetViews>
  <sheetFormatPr defaultColWidth="11.42578125" defaultRowHeight="15"/>
  <cols>
    <col min="2" max="2" width="24.5703125" bestFit="1" customWidth="1"/>
    <col min="3" max="3" width="11.5703125" bestFit="1" customWidth="1"/>
    <col min="5" max="5" width="11.5703125" bestFit="1" customWidth="1"/>
    <col min="15" max="15" width="13.28515625" bestFit="1" customWidth="1"/>
  </cols>
  <sheetData>
    <row r="1" spans="1:56">
      <c r="B1" s="36" t="s">
        <v>106</v>
      </c>
    </row>
    <row r="2" spans="1:56">
      <c r="C2" s="5">
        <v>2010</v>
      </c>
      <c r="D2" s="5">
        <v>2010</v>
      </c>
      <c r="E2" s="5">
        <v>2010</v>
      </c>
      <c r="F2" s="5">
        <v>2010</v>
      </c>
      <c r="G2" s="5">
        <v>2010</v>
      </c>
      <c r="H2" s="5">
        <v>2010</v>
      </c>
      <c r="I2" s="5">
        <v>2010</v>
      </c>
      <c r="J2" s="5">
        <v>2010</v>
      </c>
      <c r="K2" s="5">
        <v>2010</v>
      </c>
      <c r="L2" s="5">
        <v>2010</v>
      </c>
      <c r="M2" s="5">
        <v>2010</v>
      </c>
      <c r="N2" s="5">
        <v>2010</v>
      </c>
      <c r="O2" s="8" t="s">
        <v>31</v>
      </c>
    </row>
    <row r="3" spans="1:56"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11</v>
      </c>
      <c r="O3" s="7"/>
    </row>
    <row r="4" spans="1:56">
      <c r="A4" s="5"/>
      <c r="B4" s="5" t="s">
        <v>50</v>
      </c>
      <c r="C4" s="3">
        <f>$O$4/12</f>
        <v>6549737.75</v>
      </c>
      <c r="D4" s="3">
        <f t="shared" ref="D4:N4" si="0">$O$4/12</f>
        <v>6549737.75</v>
      </c>
      <c r="E4" s="3">
        <f t="shared" si="0"/>
        <v>6549737.75</v>
      </c>
      <c r="F4" s="3">
        <f t="shared" si="0"/>
        <v>6549737.75</v>
      </c>
      <c r="G4" s="3">
        <f t="shared" si="0"/>
        <v>6549737.75</v>
      </c>
      <c r="H4" s="3">
        <f t="shared" si="0"/>
        <v>6549737.75</v>
      </c>
      <c r="I4" s="3">
        <f t="shared" si="0"/>
        <v>6549737.75</v>
      </c>
      <c r="J4" s="3">
        <f t="shared" si="0"/>
        <v>6549737.75</v>
      </c>
      <c r="K4" s="3">
        <f t="shared" si="0"/>
        <v>6549737.75</v>
      </c>
      <c r="L4" s="3">
        <f t="shared" si="0"/>
        <v>6549737.75</v>
      </c>
      <c r="M4" s="3">
        <f t="shared" si="0"/>
        <v>6549737.75</v>
      </c>
      <c r="N4" s="3">
        <f t="shared" si="0"/>
        <v>6549737.75</v>
      </c>
      <c r="O4" s="3">
        <v>78596853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>
      <c r="A5" s="5"/>
      <c r="B5" s="5" t="s">
        <v>51</v>
      </c>
      <c r="C5" s="1">
        <v>10828281</v>
      </c>
      <c r="D5" s="1">
        <v>5452348</v>
      </c>
      <c r="E5" s="1">
        <v>8783101</v>
      </c>
      <c r="F5" s="1"/>
      <c r="G5" s="1"/>
      <c r="H5" s="1"/>
      <c r="I5" s="1"/>
      <c r="J5" s="1"/>
      <c r="K5" s="1"/>
      <c r="L5" s="1"/>
      <c r="M5" s="1"/>
      <c r="N5" s="1"/>
      <c r="O5" s="3">
        <f>SUM(C5:N5)</f>
        <v>25063730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>
      <c r="A6" s="5"/>
      <c r="B6" s="5" t="s">
        <v>52</v>
      </c>
      <c r="C6" s="24">
        <f>(C5-C4)/C4</f>
        <v>0.65323886441102164</v>
      </c>
      <c r="D6" s="24">
        <f t="shared" ref="D6:O6" si="1">(D5-D4)/D4</f>
        <v>-0.1675471281273819</v>
      </c>
      <c r="E6" s="24">
        <f t="shared" si="1"/>
        <v>0.34098514096995713</v>
      </c>
      <c r="F6" s="24">
        <f t="shared" si="1"/>
        <v>-1</v>
      </c>
      <c r="G6" s="24">
        <f t="shared" si="1"/>
        <v>-1</v>
      </c>
      <c r="H6" s="24">
        <f t="shared" si="1"/>
        <v>-1</v>
      </c>
      <c r="I6" s="24">
        <f t="shared" si="1"/>
        <v>-1</v>
      </c>
      <c r="J6" s="24">
        <f t="shared" si="1"/>
        <v>-1</v>
      </c>
      <c r="K6" s="24">
        <f t="shared" si="1"/>
        <v>-1</v>
      </c>
      <c r="L6" s="24">
        <f t="shared" si="1"/>
        <v>-1</v>
      </c>
      <c r="M6" s="24">
        <f t="shared" si="1"/>
        <v>-1</v>
      </c>
      <c r="N6" s="24">
        <f t="shared" si="1"/>
        <v>-1</v>
      </c>
      <c r="O6" s="24">
        <f t="shared" si="1"/>
        <v>-0.68111026022886689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8" spans="1:56">
      <c r="B8" s="5" t="s">
        <v>56</v>
      </c>
      <c r="C8" s="1">
        <f>$O$8/12</f>
        <v>160124</v>
      </c>
      <c r="D8" s="1">
        <f t="shared" ref="D8:N8" si="2">$O$8/12</f>
        <v>160124</v>
      </c>
      <c r="E8" s="1">
        <f t="shared" si="2"/>
        <v>160124</v>
      </c>
      <c r="F8" s="1">
        <f t="shared" si="2"/>
        <v>160124</v>
      </c>
      <c r="G8" s="1">
        <f t="shared" si="2"/>
        <v>160124</v>
      </c>
      <c r="H8" s="1">
        <f t="shared" si="2"/>
        <v>160124</v>
      </c>
      <c r="I8" s="1">
        <f t="shared" si="2"/>
        <v>160124</v>
      </c>
      <c r="J8" s="1">
        <f t="shared" si="2"/>
        <v>160124</v>
      </c>
      <c r="K8" s="1">
        <f t="shared" si="2"/>
        <v>160124</v>
      </c>
      <c r="L8" s="1">
        <f t="shared" si="2"/>
        <v>160124</v>
      </c>
      <c r="M8" s="1">
        <f t="shared" si="2"/>
        <v>160124</v>
      </c>
      <c r="N8" s="1">
        <f t="shared" si="2"/>
        <v>160124</v>
      </c>
      <c r="O8" s="1">
        <v>1921488</v>
      </c>
    </row>
    <row r="9" spans="1:56">
      <c r="B9" s="5" t="s">
        <v>55</v>
      </c>
      <c r="C9" s="1">
        <v>294429</v>
      </c>
      <c r="D9">
        <v>201059</v>
      </c>
      <c r="E9" s="1">
        <v>322518</v>
      </c>
      <c r="O9" s="3">
        <f>SUM(C9:N9)</f>
        <v>818006</v>
      </c>
    </row>
    <row r="10" spans="1:56">
      <c r="B10" s="5" t="s">
        <v>52</v>
      </c>
      <c r="C10" s="24">
        <f>(C9-C8)/C8</f>
        <v>0.83875621393420097</v>
      </c>
      <c r="D10" s="24">
        <f t="shared" ref="D10" si="3">(D9-D8)/D8</f>
        <v>0.25564562464090329</v>
      </c>
      <c r="E10" s="24">
        <f t="shared" ref="E10" si="4">(E9-E8)/E8</f>
        <v>1.0141765132022682</v>
      </c>
      <c r="F10" s="24">
        <f t="shared" ref="F10" si="5">(F9-F8)/F8</f>
        <v>-1</v>
      </c>
      <c r="G10" s="24">
        <f t="shared" ref="G10" si="6">(G9-G8)/G8</f>
        <v>-1</v>
      </c>
      <c r="H10" s="24">
        <f t="shared" ref="H10" si="7">(H9-H8)/H8</f>
        <v>-1</v>
      </c>
      <c r="I10" s="24">
        <f t="shared" ref="I10" si="8">(I9-I8)/I8</f>
        <v>-1</v>
      </c>
      <c r="J10" s="24">
        <f t="shared" ref="J10" si="9">(J9-J8)/J8</f>
        <v>-1</v>
      </c>
      <c r="K10" s="24">
        <f t="shared" ref="K10" si="10">(K9-K8)/K8</f>
        <v>-1</v>
      </c>
      <c r="L10" s="24">
        <f t="shared" ref="L10" si="11">(L9-L8)/L8</f>
        <v>-1</v>
      </c>
      <c r="M10" s="24">
        <f t="shared" ref="M10" si="12">(M9-M8)/M8</f>
        <v>-1</v>
      </c>
      <c r="N10" s="24">
        <f t="shared" ref="N10" si="13">(N9-N8)/N8</f>
        <v>-1</v>
      </c>
      <c r="O10" s="24">
        <f t="shared" ref="O10" si="14">(O9-O8)/O8</f>
        <v>-0.57428513735188558</v>
      </c>
    </row>
  </sheetData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F25"/>
  <sheetViews>
    <sheetView workbookViewId="0">
      <pane xSplit="2" ySplit="4" topLeftCell="H5" activePane="bottomRight" state="frozen"/>
      <selection activeCell="C34" sqref="C34"/>
      <selection pane="topRight" activeCell="C34" sqref="C34"/>
      <selection pane="bottomLeft" activeCell="C34" sqref="C34"/>
      <selection pane="bottomRight" activeCell="B18" sqref="B18"/>
    </sheetView>
  </sheetViews>
  <sheetFormatPr defaultRowHeight="15"/>
  <cols>
    <col min="1" max="1" width="3.42578125" style="37" customWidth="1"/>
    <col min="2" max="2" width="34.85546875" style="37" customWidth="1"/>
    <col min="3" max="3" width="13.7109375" style="37" bestFit="1" customWidth="1"/>
    <col min="4" max="14" width="13.28515625" style="37" bestFit="1" customWidth="1"/>
    <col min="15" max="15" width="12.28515625" style="37" bestFit="1" customWidth="1"/>
    <col min="16" max="16" width="11.5703125" style="37" bestFit="1" customWidth="1"/>
    <col min="17" max="19" width="11.28515625" style="37" bestFit="1" customWidth="1"/>
    <col min="20" max="32" width="11.7109375" style="37" hidden="1" customWidth="1"/>
    <col min="33" max="60" width="11.7109375" style="37" customWidth="1"/>
    <col min="61" max="16384" width="9.140625" style="37"/>
  </cols>
  <sheetData>
    <row r="2" spans="1:32">
      <c r="B2" s="38" t="s">
        <v>12</v>
      </c>
    </row>
    <row r="3" spans="1:32">
      <c r="B3" s="37" t="s">
        <v>33</v>
      </c>
      <c r="C3" s="64">
        <v>2010</v>
      </c>
      <c r="D3" s="64">
        <v>2010</v>
      </c>
      <c r="E3" s="64">
        <v>2010</v>
      </c>
      <c r="F3" s="64">
        <v>2010</v>
      </c>
      <c r="G3" s="64">
        <v>2010</v>
      </c>
      <c r="H3" s="64">
        <v>2010</v>
      </c>
      <c r="I3" s="64">
        <v>2010</v>
      </c>
      <c r="J3" s="64">
        <v>2010</v>
      </c>
      <c r="K3" s="64">
        <v>2010</v>
      </c>
      <c r="L3" s="64">
        <v>2010</v>
      </c>
      <c r="M3" s="64">
        <v>2010</v>
      </c>
      <c r="N3" s="64">
        <v>2010</v>
      </c>
      <c r="O3" s="64" t="s">
        <v>31</v>
      </c>
      <c r="P3" s="65">
        <v>2010</v>
      </c>
      <c r="Q3" s="64">
        <v>2010</v>
      </c>
      <c r="R3" s="64">
        <v>2010</v>
      </c>
      <c r="S3" s="64">
        <v>2010</v>
      </c>
      <c r="T3" s="37">
        <v>2011</v>
      </c>
      <c r="U3" s="37">
        <v>2011</v>
      </c>
      <c r="V3" s="37">
        <v>2011</v>
      </c>
      <c r="W3" s="37">
        <v>2011</v>
      </c>
      <c r="X3" s="37">
        <v>2011</v>
      </c>
      <c r="Y3" s="37">
        <v>2011</v>
      </c>
      <c r="Z3" s="37">
        <v>2011</v>
      </c>
      <c r="AA3" s="37">
        <v>2011</v>
      </c>
      <c r="AB3" s="37">
        <v>2011</v>
      </c>
      <c r="AC3" s="37">
        <v>2011</v>
      </c>
      <c r="AD3" s="37">
        <v>2011</v>
      </c>
      <c r="AE3" s="37">
        <v>2011</v>
      </c>
      <c r="AF3" s="39" t="s">
        <v>32</v>
      </c>
    </row>
    <row r="4" spans="1:32">
      <c r="C4" s="64" t="s">
        <v>0</v>
      </c>
      <c r="D4" s="64" t="s">
        <v>1</v>
      </c>
      <c r="E4" s="64" t="s">
        <v>2</v>
      </c>
      <c r="F4" s="64" t="s">
        <v>3</v>
      </c>
      <c r="G4" s="64" t="s">
        <v>4</v>
      </c>
      <c r="H4" s="64" t="s">
        <v>5</v>
      </c>
      <c r="I4" s="64" t="s">
        <v>6</v>
      </c>
      <c r="J4" s="64" t="s">
        <v>7</v>
      </c>
      <c r="K4" s="64" t="s">
        <v>8</v>
      </c>
      <c r="L4" s="64" t="s">
        <v>9</v>
      </c>
      <c r="M4" s="64" t="s">
        <v>10</v>
      </c>
      <c r="N4" s="64" t="s">
        <v>11</v>
      </c>
      <c r="O4" s="64"/>
      <c r="P4" s="65" t="s">
        <v>69</v>
      </c>
      <c r="Q4" s="64" t="s">
        <v>70</v>
      </c>
      <c r="R4" s="64" t="s">
        <v>71</v>
      </c>
      <c r="S4" s="64" t="s">
        <v>72</v>
      </c>
      <c r="T4" s="37" t="s">
        <v>0</v>
      </c>
      <c r="U4" s="37" t="s">
        <v>1</v>
      </c>
      <c r="V4" s="37" t="s">
        <v>2</v>
      </c>
      <c r="W4" s="37" t="s">
        <v>3</v>
      </c>
      <c r="X4" s="37" t="s">
        <v>4</v>
      </c>
      <c r="Y4" s="37" t="s">
        <v>5</v>
      </c>
      <c r="Z4" s="37" t="s">
        <v>6</v>
      </c>
      <c r="AA4" s="37" t="s">
        <v>7</v>
      </c>
      <c r="AB4" s="37" t="s">
        <v>8</v>
      </c>
      <c r="AC4" s="37" t="s">
        <v>9</v>
      </c>
      <c r="AD4" s="37" t="s">
        <v>10</v>
      </c>
      <c r="AE4" s="37" t="s">
        <v>11</v>
      </c>
    </row>
    <row r="5" spans="1:32">
      <c r="A5" s="37" t="s">
        <v>22</v>
      </c>
      <c r="B5" s="37" t="s">
        <v>13</v>
      </c>
      <c r="C5" s="40">
        <v>3795499</v>
      </c>
      <c r="D5" s="40">
        <f>C17</f>
        <v>3261878.6346973972</v>
      </c>
      <c r="E5" s="40">
        <f t="shared" ref="E5:N5" si="0">D17</f>
        <v>2653598.2539532417</v>
      </c>
      <c r="F5" s="40">
        <f t="shared" si="0"/>
        <v>2736984.2219213285</v>
      </c>
      <c r="G5" s="40">
        <f t="shared" si="0"/>
        <v>2736984.2219213285</v>
      </c>
      <c r="H5" s="40">
        <f t="shared" si="0"/>
        <v>2736984.2219213285</v>
      </c>
      <c r="I5" s="40">
        <f t="shared" si="0"/>
        <v>2736984.2219213285</v>
      </c>
      <c r="J5" s="40">
        <f t="shared" si="0"/>
        <v>2736984.2219213285</v>
      </c>
      <c r="K5" s="40">
        <f t="shared" si="0"/>
        <v>2736984.2219213285</v>
      </c>
      <c r="L5" s="40">
        <f t="shared" si="0"/>
        <v>2736984.2219213285</v>
      </c>
      <c r="M5" s="40">
        <f t="shared" si="0"/>
        <v>2736984.2219213285</v>
      </c>
      <c r="N5" s="40">
        <f t="shared" si="0"/>
        <v>2736984.2219213285</v>
      </c>
      <c r="P5" s="66">
        <f>C5</f>
        <v>3795499</v>
      </c>
    </row>
    <row r="6" spans="1:32"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P6" s="67"/>
    </row>
    <row r="7" spans="1:32">
      <c r="B7" s="37" t="s">
        <v>14</v>
      </c>
      <c r="C7" s="42">
        <v>1738493.1079273054</v>
      </c>
      <c r="D7" s="42">
        <v>1558222.5118301671</v>
      </c>
      <c r="E7" s="42">
        <v>1460105.3914799262</v>
      </c>
      <c r="F7" s="42">
        <v>1235296.8394850942</v>
      </c>
      <c r="G7" s="42">
        <v>1265114.5475734838</v>
      </c>
      <c r="H7" s="42">
        <v>1281951.6614913556</v>
      </c>
      <c r="I7" s="42">
        <v>1398098.541419263</v>
      </c>
      <c r="J7" s="42">
        <v>1441661.5086758845</v>
      </c>
      <c r="K7" s="42">
        <v>1342411.8521849632</v>
      </c>
      <c r="L7" s="42">
        <v>1373772.9692104692</v>
      </c>
      <c r="M7" s="42">
        <v>1448813.5812285233</v>
      </c>
      <c r="N7" s="42">
        <v>1627888.0756961908</v>
      </c>
      <c r="O7" s="43">
        <f>SUM(C7:N7)</f>
        <v>17171830.588202622</v>
      </c>
      <c r="P7" s="68">
        <f>SUM(C7:E7)</f>
        <v>4756821.0112373987</v>
      </c>
      <c r="Q7" s="43">
        <f>SUM(F7:H7)</f>
        <v>3782363.0485499334</v>
      </c>
      <c r="R7" s="43">
        <f>SUM(I7:K7)</f>
        <v>4182171.9022801109</v>
      </c>
      <c r="S7" s="43">
        <f>SUM(L7:N7)</f>
        <v>4450474.6261351835</v>
      </c>
    </row>
    <row r="8" spans="1:32">
      <c r="A8" s="37" t="s">
        <v>21</v>
      </c>
      <c r="B8" s="37" t="s">
        <v>15</v>
      </c>
      <c r="C8" s="41">
        <v>1642482.7053026026</v>
      </c>
      <c r="D8" s="41">
        <v>1467176.8207441554</v>
      </c>
      <c r="E8" s="41">
        <v>1395262.0520319131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3">
        <f t="shared" ref="O8:O9" si="1">SUM(C8:N8)</f>
        <v>4504921.5780786714</v>
      </c>
      <c r="P8" s="68">
        <f>SUM(C8:E8)</f>
        <v>4504921.5780786714</v>
      </c>
      <c r="Q8" s="43">
        <f>SUM(F8:H8)</f>
        <v>0</v>
      </c>
      <c r="R8" s="43">
        <f>SUM(I8:K8)</f>
        <v>0</v>
      </c>
      <c r="S8" s="43">
        <f>SUM(L8:N8)</f>
        <v>0</v>
      </c>
    </row>
    <row r="9" spans="1:32">
      <c r="B9" s="37" t="s">
        <v>16</v>
      </c>
      <c r="C9" s="44">
        <f>C8-C7</f>
        <v>-96010.40262470278</v>
      </c>
      <c r="D9" s="44">
        <f>D8-D7</f>
        <v>-91045.691086011706</v>
      </c>
      <c r="E9" s="44">
        <f t="shared" ref="E9:S9" si="2">E8-E7</f>
        <v>-64843.33944801311</v>
      </c>
      <c r="F9" s="44">
        <f t="shared" si="2"/>
        <v>-1235296.8394850942</v>
      </c>
      <c r="G9" s="44">
        <f t="shared" si="2"/>
        <v>-1265114.5475734838</v>
      </c>
      <c r="H9" s="44">
        <f t="shared" si="2"/>
        <v>-1281951.6614913556</v>
      </c>
      <c r="I9" s="44">
        <f t="shared" si="2"/>
        <v>-1398098.541419263</v>
      </c>
      <c r="J9" s="44">
        <f t="shared" si="2"/>
        <v>-1441661.5086758845</v>
      </c>
      <c r="K9" s="44">
        <f t="shared" si="2"/>
        <v>-1342411.8521849632</v>
      </c>
      <c r="L9" s="44">
        <f t="shared" si="2"/>
        <v>-1373772.9692104692</v>
      </c>
      <c r="M9" s="44">
        <f t="shared" si="2"/>
        <v>-1448813.5812285233</v>
      </c>
      <c r="N9" s="44">
        <f t="shared" si="2"/>
        <v>-1627888.0756961908</v>
      </c>
      <c r="O9" s="44">
        <f t="shared" si="1"/>
        <v>-12666909.010123955</v>
      </c>
      <c r="P9" s="69">
        <f t="shared" si="2"/>
        <v>-251899.43315872736</v>
      </c>
      <c r="Q9" s="44">
        <f t="shared" si="2"/>
        <v>-3782363.0485499334</v>
      </c>
      <c r="R9" s="44">
        <f t="shared" si="2"/>
        <v>-4182171.9022801109</v>
      </c>
      <c r="S9" s="44">
        <f t="shared" si="2"/>
        <v>-4450474.6261351835</v>
      </c>
    </row>
    <row r="10" spans="1:32"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P10" s="67"/>
    </row>
    <row r="11" spans="1:32">
      <c r="B11" s="37" t="s">
        <v>18</v>
      </c>
      <c r="C11" s="41">
        <f>'WA-Sch91 Budget-Act Exp'!C36</f>
        <v>1032112.5833333335</v>
      </c>
      <c r="D11" s="41">
        <f>'WA-Sch91 Budget-Act Exp'!D36</f>
        <v>1032112.5833333335</v>
      </c>
      <c r="E11" s="41">
        <f>'WA-Sch91 Budget-Act Exp'!E36</f>
        <v>1032112.5833333335</v>
      </c>
      <c r="F11" s="41">
        <f>'WA-Sch91 Budget-Act Exp'!F36</f>
        <v>1032112.5833333335</v>
      </c>
      <c r="G11" s="41">
        <f>'WA-Sch91 Budget-Act Exp'!G36</f>
        <v>1032112.5833333335</v>
      </c>
      <c r="H11" s="41">
        <f>'WA-Sch91 Budget-Act Exp'!H36</f>
        <v>1032112.5833333335</v>
      </c>
      <c r="I11" s="41">
        <f>'WA-Sch91 Budget-Act Exp'!I36</f>
        <v>1032112.5833333335</v>
      </c>
      <c r="J11" s="41">
        <f>'WA-Sch91 Budget-Act Exp'!J36</f>
        <v>1032112.5833333335</v>
      </c>
      <c r="K11" s="41">
        <f>'WA-Sch91 Budget-Act Exp'!K36</f>
        <v>1032112.5833333335</v>
      </c>
      <c r="L11" s="41">
        <f>'WA-Sch91 Budget-Act Exp'!L36</f>
        <v>1032112.5833333335</v>
      </c>
      <c r="M11" s="41">
        <f>'WA-Sch91 Budget-Act Exp'!M36</f>
        <v>1032112.5833333335</v>
      </c>
      <c r="N11" s="41">
        <f>'WA-Sch91 Budget-Act Exp'!N36</f>
        <v>1032111.9233333333</v>
      </c>
      <c r="O11" s="43">
        <f t="shared" ref="O11:O13" si="3">SUM(C11:N11)</f>
        <v>12385350.340000005</v>
      </c>
      <c r="P11" s="68">
        <f>SUM(C11:E11)</f>
        <v>3096337.7500000005</v>
      </c>
      <c r="Q11" s="43">
        <f>SUM(F11:H11)</f>
        <v>3096337.7500000005</v>
      </c>
      <c r="R11" s="43">
        <f>SUM(I11:K11)</f>
        <v>3096337.7500000005</v>
      </c>
      <c r="S11" s="43">
        <f>SUM(L11:N11)</f>
        <v>3096337.0900000003</v>
      </c>
    </row>
    <row r="12" spans="1:32">
      <c r="A12" s="37" t="s">
        <v>20</v>
      </c>
      <c r="B12" s="37" t="s">
        <v>17</v>
      </c>
      <c r="C12" s="41">
        <f>'WA-Sch91 Budget-Act Exp'!C68</f>
        <v>1108862.3399999999</v>
      </c>
      <c r="D12" s="41">
        <f>'WA-Sch91 Budget-Act Exp'!D68</f>
        <v>858896.44000000018</v>
      </c>
      <c r="E12" s="41">
        <f>'WA-Sch91 Budget-Act Exp'!E68</f>
        <v>1478648.02</v>
      </c>
      <c r="F12" s="41"/>
      <c r="G12" s="41"/>
      <c r="H12" s="41"/>
      <c r="I12" s="41"/>
      <c r="J12" s="41"/>
      <c r="K12" s="41"/>
      <c r="L12" s="41"/>
      <c r="M12" s="41"/>
      <c r="N12" s="41"/>
      <c r="O12" s="43">
        <f t="shared" si="3"/>
        <v>3446406.8</v>
      </c>
      <c r="P12" s="68">
        <f>SUM(C12:E12)</f>
        <v>3446406.8</v>
      </c>
      <c r="Q12" s="43">
        <f>SUM(F12:H12)</f>
        <v>0</v>
      </c>
      <c r="R12" s="43">
        <f>SUM(I12:K12)</f>
        <v>0</v>
      </c>
      <c r="S12" s="43">
        <f>SUM(L12:N12)</f>
        <v>0</v>
      </c>
    </row>
    <row r="13" spans="1:32">
      <c r="B13" s="37" t="s">
        <v>19</v>
      </c>
      <c r="C13" s="45">
        <f>C11-C12</f>
        <v>-76749.756666666362</v>
      </c>
      <c r="D13" s="45">
        <f t="shared" ref="D13:S13" si="4">D11-D12</f>
        <v>173216.14333333331</v>
      </c>
      <c r="E13" s="45">
        <f t="shared" si="4"/>
        <v>-446535.43666666653</v>
      </c>
      <c r="F13" s="45">
        <f t="shared" si="4"/>
        <v>1032112.5833333335</v>
      </c>
      <c r="G13" s="45">
        <f t="shared" si="4"/>
        <v>1032112.5833333335</v>
      </c>
      <c r="H13" s="45">
        <f t="shared" si="4"/>
        <v>1032112.5833333335</v>
      </c>
      <c r="I13" s="45">
        <f t="shared" si="4"/>
        <v>1032112.5833333335</v>
      </c>
      <c r="J13" s="45">
        <f t="shared" si="4"/>
        <v>1032112.5833333335</v>
      </c>
      <c r="K13" s="45">
        <f t="shared" si="4"/>
        <v>1032112.5833333335</v>
      </c>
      <c r="L13" s="45">
        <f t="shared" si="4"/>
        <v>1032112.5833333335</v>
      </c>
      <c r="M13" s="45">
        <f t="shared" si="4"/>
        <v>1032112.5833333335</v>
      </c>
      <c r="N13" s="45">
        <f t="shared" si="4"/>
        <v>1032111.9233333333</v>
      </c>
      <c r="O13" s="44">
        <f t="shared" si="3"/>
        <v>8938943.5400000028</v>
      </c>
      <c r="P13" s="70">
        <f t="shared" si="4"/>
        <v>-350069.04999999935</v>
      </c>
      <c r="Q13" s="45">
        <f t="shared" si="4"/>
        <v>3096337.7500000005</v>
      </c>
      <c r="R13" s="45">
        <f t="shared" si="4"/>
        <v>3096337.7500000005</v>
      </c>
      <c r="S13" s="45">
        <f t="shared" si="4"/>
        <v>3096337.0900000003</v>
      </c>
    </row>
    <row r="14" spans="1:32"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67"/>
    </row>
    <row r="15" spans="1:32" ht="30">
      <c r="A15" s="37" t="s">
        <v>24</v>
      </c>
      <c r="B15" s="46" t="s">
        <v>23</v>
      </c>
      <c r="C15" s="41">
        <f>C8-C12</f>
        <v>533620.36530260276</v>
      </c>
      <c r="D15" s="41">
        <f t="shared" ref="D15:S15" si="5">D8-D12</f>
        <v>608280.38074415526</v>
      </c>
      <c r="E15" s="41">
        <f t="shared" si="5"/>
        <v>-83385.967968086945</v>
      </c>
      <c r="F15" s="41">
        <f t="shared" si="5"/>
        <v>0</v>
      </c>
      <c r="G15" s="41">
        <f t="shared" si="5"/>
        <v>0</v>
      </c>
      <c r="H15" s="41">
        <f t="shared" si="5"/>
        <v>0</v>
      </c>
      <c r="I15" s="41">
        <f t="shared" si="5"/>
        <v>0</v>
      </c>
      <c r="J15" s="41">
        <f t="shared" si="5"/>
        <v>0</v>
      </c>
      <c r="K15" s="41">
        <f t="shared" si="5"/>
        <v>0</v>
      </c>
      <c r="L15" s="41">
        <f t="shared" si="5"/>
        <v>0</v>
      </c>
      <c r="M15" s="41">
        <f t="shared" si="5"/>
        <v>0</v>
      </c>
      <c r="N15" s="41">
        <f t="shared" si="5"/>
        <v>0</v>
      </c>
      <c r="O15" s="41">
        <f t="shared" si="5"/>
        <v>1058514.7780786715</v>
      </c>
      <c r="P15" s="71">
        <f t="shared" si="5"/>
        <v>1058514.7780786715</v>
      </c>
      <c r="Q15" s="41">
        <f t="shared" si="5"/>
        <v>0</v>
      </c>
      <c r="R15" s="41">
        <f t="shared" si="5"/>
        <v>0</v>
      </c>
      <c r="S15" s="41">
        <f t="shared" si="5"/>
        <v>0</v>
      </c>
    </row>
    <row r="16" spans="1:32"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P16" s="67"/>
    </row>
    <row r="17" spans="2:19" ht="15.75" thickBot="1">
      <c r="B17" s="37" t="s">
        <v>25</v>
      </c>
      <c r="C17" s="56">
        <f>C5-C15</f>
        <v>3261878.6346973972</v>
      </c>
      <c r="D17" s="56">
        <f t="shared" ref="D17:S17" si="6">D5-D15</f>
        <v>2653598.2539532417</v>
      </c>
      <c r="E17" s="56">
        <f t="shared" si="6"/>
        <v>2736984.2219213285</v>
      </c>
      <c r="F17" s="56">
        <f t="shared" si="6"/>
        <v>2736984.2219213285</v>
      </c>
      <c r="G17" s="56">
        <f t="shared" si="6"/>
        <v>2736984.2219213285</v>
      </c>
      <c r="H17" s="56">
        <f t="shared" si="6"/>
        <v>2736984.2219213285</v>
      </c>
      <c r="I17" s="56">
        <f t="shared" si="6"/>
        <v>2736984.2219213285</v>
      </c>
      <c r="J17" s="56">
        <f t="shared" si="6"/>
        <v>2736984.2219213285</v>
      </c>
      <c r="K17" s="56">
        <f t="shared" si="6"/>
        <v>2736984.2219213285</v>
      </c>
      <c r="L17" s="56">
        <f t="shared" si="6"/>
        <v>2736984.2219213285</v>
      </c>
      <c r="M17" s="56">
        <f t="shared" si="6"/>
        <v>2736984.2219213285</v>
      </c>
      <c r="N17" s="56">
        <f t="shared" si="6"/>
        <v>2736984.2219213285</v>
      </c>
      <c r="O17" s="43"/>
      <c r="P17" s="68">
        <f t="shared" si="6"/>
        <v>2736984.2219213285</v>
      </c>
      <c r="Q17" s="43">
        <f t="shared" si="6"/>
        <v>0</v>
      </c>
      <c r="R17" s="43">
        <f t="shared" si="6"/>
        <v>0</v>
      </c>
      <c r="S17" s="43">
        <f t="shared" si="6"/>
        <v>0</v>
      </c>
    </row>
    <row r="18" spans="2:19" ht="15.75" thickTop="1">
      <c r="P18" s="67"/>
    </row>
    <row r="19" spans="2:19">
      <c r="B19" s="37" t="s">
        <v>30</v>
      </c>
      <c r="E19" s="43"/>
      <c r="F19" s="43">
        <f>E17-F7+F11</f>
        <v>2533799.9657695675</v>
      </c>
      <c r="G19" s="43">
        <f t="shared" ref="G19:N19" si="7">F19-G7+G11</f>
        <v>2300798.001529417</v>
      </c>
      <c r="H19" s="43">
        <f t="shared" si="7"/>
        <v>2050958.9233713949</v>
      </c>
      <c r="I19" s="43">
        <f t="shared" si="7"/>
        <v>1684972.9652854654</v>
      </c>
      <c r="J19" s="43">
        <f t="shared" si="7"/>
        <v>1275424.0399429144</v>
      </c>
      <c r="K19" s="43">
        <f t="shared" si="7"/>
        <v>965124.7710912847</v>
      </c>
      <c r="L19" s="43">
        <f t="shared" si="7"/>
        <v>623464.38521414902</v>
      </c>
      <c r="M19" s="43">
        <f t="shared" si="7"/>
        <v>206763.38731895923</v>
      </c>
      <c r="N19" s="43">
        <f t="shared" si="7"/>
        <v>-389012.76504389825</v>
      </c>
      <c r="P19" s="68">
        <f>N19</f>
        <v>-389012.76504389825</v>
      </c>
    </row>
    <row r="20" spans="2:19"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2" spans="2:19">
      <c r="B22" s="47" t="s">
        <v>26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2:19" ht="31.5" customHeight="1">
      <c r="B23" s="72" t="s">
        <v>53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2:19" ht="30" customHeight="1">
      <c r="B24" s="72" t="s">
        <v>54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2:19" ht="30.75" customHeight="1">
      <c r="B25" s="72" t="s">
        <v>76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</row>
  </sheetData>
  <mergeCells count="3">
    <mergeCell ref="B23:O23"/>
    <mergeCell ref="B24:O24"/>
    <mergeCell ref="B25:O25"/>
  </mergeCells>
  <pageMargins left="0" right="0" top="0.75" bottom="0.75" header="0.3" footer="0.3"/>
  <pageSetup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112"/>
  <sheetViews>
    <sheetView workbookViewId="0">
      <pane xSplit="2" ySplit="4" topLeftCell="C55" activePane="bottomRight" state="frozen"/>
      <selection activeCell="C34" sqref="C34"/>
      <selection pane="topRight" activeCell="C34" sqref="C34"/>
      <selection pane="bottomLeft" activeCell="C34" sqref="C34"/>
      <selection pane="bottomRight" activeCell="C3" sqref="C3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6" t="s">
        <v>12</v>
      </c>
    </row>
    <row r="3" spans="1:28">
      <c r="B3" s="5" t="s">
        <v>47</v>
      </c>
      <c r="C3" s="61">
        <v>2010</v>
      </c>
      <c r="D3" s="61">
        <v>2010</v>
      </c>
      <c r="E3" s="61">
        <v>2010</v>
      </c>
      <c r="F3" s="61">
        <v>2010</v>
      </c>
      <c r="G3" s="61">
        <v>2010</v>
      </c>
      <c r="H3" s="61">
        <v>2010</v>
      </c>
      <c r="I3" s="61">
        <v>2010</v>
      </c>
      <c r="J3" s="61">
        <v>2010</v>
      </c>
      <c r="K3" s="61">
        <v>2010</v>
      </c>
      <c r="L3" s="61">
        <v>2010</v>
      </c>
      <c r="M3" s="61">
        <v>2010</v>
      </c>
      <c r="N3" s="61">
        <v>2010</v>
      </c>
      <c r="O3" s="61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62" t="s">
        <v>0</v>
      </c>
      <c r="D4" s="62" t="s">
        <v>1</v>
      </c>
      <c r="E4" s="62" t="s">
        <v>2</v>
      </c>
      <c r="F4" s="62" t="s">
        <v>3</v>
      </c>
      <c r="G4" s="62" t="s">
        <v>4</v>
      </c>
      <c r="H4" s="62" t="s">
        <v>5</v>
      </c>
      <c r="I4" s="62" t="s">
        <v>6</v>
      </c>
      <c r="J4" s="62" t="s">
        <v>7</v>
      </c>
      <c r="K4" s="62" t="s">
        <v>8</v>
      </c>
      <c r="L4" s="62" t="s">
        <v>9</v>
      </c>
      <c r="M4" s="62" t="s">
        <v>10</v>
      </c>
      <c r="N4" s="62" t="s">
        <v>11</v>
      </c>
      <c r="O4" s="62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4832969/12</f>
        <v>402747.41666666669</v>
      </c>
      <c r="D7" s="18">
        <f t="shared" ref="D7:M7" si="0">4832969/12</f>
        <v>402747.41666666669</v>
      </c>
      <c r="E7" s="18">
        <f t="shared" si="0"/>
        <v>402747.41666666669</v>
      </c>
      <c r="F7" s="18">
        <f t="shared" si="0"/>
        <v>402747.41666666669</v>
      </c>
      <c r="G7" s="18">
        <f t="shared" si="0"/>
        <v>402747.41666666669</v>
      </c>
      <c r="H7" s="18">
        <f t="shared" si="0"/>
        <v>402747.41666666669</v>
      </c>
      <c r="I7" s="18">
        <f t="shared" si="0"/>
        <v>402747.41666666669</v>
      </c>
      <c r="J7" s="18">
        <f t="shared" si="0"/>
        <v>402747.41666666669</v>
      </c>
      <c r="K7" s="18">
        <f t="shared" si="0"/>
        <v>402747.41666666669</v>
      </c>
      <c r="L7" s="18">
        <f t="shared" si="0"/>
        <v>402747.41666666669</v>
      </c>
      <c r="M7" s="18">
        <f t="shared" si="0"/>
        <v>402747.41666666669</v>
      </c>
      <c r="N7" s="18">
        <f>(4832969/12)-0.33</f>
        <v>402747.08666666667</v>
      </c>
      <c r="O7" s="16">
        <f t="shared" ref="O7:O13" si="1">SUM(C7:N7)</f>
        <v>4832968.67</v>
      </c>
    </row>
    <row r="8" spans="1:28">
      <c r="B8" s="5" t="s">
        <v>35</v>
      </c>
      <c r="C8" s="18">
        <f>2127260/12</f>
        <v>177271.66666666666</v>
      </c>
      <c r="D8" s="18">
        <f t="shared" ref="D8:N8" si="2">2127260/12</f>
        <v>177271.66666666666</v>
      </c>
      <c r="E8" s="18">
        <f t="shared" si="2"/>
        <v>177271.66666666666</v>
      </c>
      <c r="F8" s="18">
        <f t="shared" si="2"/>
        <v>177271.66666666666</v>
      </c>
      <c r="G8" s="18">
        <f t="shared" si="2"/>
        <v>177271.66666666666</v>
      </c>
      <c r="H8" s="18">
        <f t="shared" si="2"/>
        <v>177271.66666666666</v>
      </c>
      <c r="I8" s="18">
        <f t="shared" si="2"/>
        <v>177271.66666666666</v>
      </c>
      <c r="J8" s="18">
        <f t="shared" si="2"/>
        <v>177271.66666666666</v>
      </c>
      <c r="K8" s="18">
        <f t="shared" si="2"/>
        <v>177271.66666666666</v>
      </c>
      <c r="L8" s="18">
        <f t="shared" si="2"/>
        <v>177271.66666666666</v>
      </c>
      <c r="M8" s="18">
        <f t="shared" si="2"/>
        <v>177271.66666666666</v>
      </c>
      <c r="N8" s="18">
        <f t="shared" si="2"/>
        <v>177271.66666666666</v>
      </c>
      <c r="O8" s="16">
        <f t="shared" si="1"/>
        <v>2127260.0000000005</v>
      </c>
    </row>
    <row r="9" spans="1:28">
      <c r="B9" s="5" t="s">
        <v>36</v>
      </c>
      <c r="C9" s="18">
        <f>695890/12</f>
        <v>57990.833333333336</v>
      </c>
      <c r="D9" s="18">
        <f t="shared" ref="D9:N9" si="3">695890/12</f>
        <v>57990.833333333336</v>
      </c>
      <c r="E9" s="18">
        <f t="shared" si="3"/>
        <v>57990.833333333336</v>
      </c>
      <c r="F9" s="18">
        <f t="shared" si="3"/>
        <v>57990.833333333336</v>
      </c>
      <c r="G9" s="18">
        <f t="shared" si="3"/>
        <v>57990.833333333336</v>
      </c>
      <c r="H9" s="18">
        <f t="shared" si="3"/>
        <v>57990.833333333336</v>
      </c>
      <c r="I9" s="18">
        <f t="shared" si="3"/>
        <v>57990.833333333336</v>
      </c>
      <c r="J9" s="18">
        <f t="shared" si="3"/>
        <v>57990.833333333336</v>
      </c>
      <c r="K9" s="18">
        <f t="shared" si="3"/>
        <v>57990.833333333336</v>
      </c>
      <c r="L9" s="18">
        <f t="shared" si="3"/>
        <v>57990.833333333336</v>
      </c>
      <c r="M9" s="18">
        <f t="shared" si="3"/>
        <v>57990.833333333336</v>
      </c>
      <c r="N9" s="18">
        <f t="shared" si="3"/>
        <v>57990.833333333336</v>
      </c>
      <c r="O9" s="16">
        <f t="shared" si="1"/>
        <v>695890</v>
      </c>
    </row>
    <row r="10" spans="1:28" hidden="1">
      <c r="B10" s="5" t="s">
        <v>37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1"/>
        <v>0</v>
      </c>
    </row>
    <row r="11" spans="1:28" hidden="1">
      <c r="B11" s="5" t="s">
        <v>38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1"/>
        <v>0</v>
      </c>
    </row>
    <row r="12" spans="1:28" hidden="1">
      <c r="B12" s="5" t="s">
        <v>39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1"/>
        <v>0</v>
      </c>
    </row>
    <row r="13" spans="1:28" hidden="1">
      <c r="B13" s="5" t="s">
        <v>40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1"/>
        <v>0</v>
      </c>
    </row>
    <row r="14" spans="1:28">
      <c r="A14" t="s">
        <v>22</v>
      </c>
      <c r="B14" s="9" t="s">
        <v>41</v>
      </c>
      <c r="C14" s="19">
        <f>SUM(C7:C13)</f>
        <v>638009.91666666674</v>
      </c>
      <c r="D14" s="19">
        <f t="shared" ref="D14:N14" si="4">SUM(D7:D13)</f>
        <v>638009.91666666674</v>
      </c>
      <c r="E14" s="19">
        <f t="shared" si="4"/>
        <v>638009.91666666674</v>
      </c>
      <c r="F14" s="19">
        <f t="shared" si="4"/>
        <v>638009.91666666674</v>
      </c>
      <c r="G14" s="19">
        <f t="shared" si="4"/>
        <v>638009.91666666674</v>
      </c>
      <c r="H14" s="19">
        <f t="shared" si="4"/>
        <v>638009.91666666674</v>
      </c>
      <c r="I14" s="19">
        <f t="shared" si="4"/>
        <v>638009.91666666674</v>
      </c>
      <c r="J14" s="19">
        <f t="shared" si="4"/>
        <v>638009.91666666674</v>
      </c>
      <c r="K14" s="19">
        <f t="shared" si="4"/>
        <v>638009.91666666674</v>
      </c>
      <c r="L14" s="19">
        <f t="shared" si="4"/>
        <v>638009.91666666674</v>
      </c>
      <c r="M14" s="19">
        <f t="shared" si="4"/>
        <v>638009.91666666674</v>
      </c>
      <c r="N14" s="19">
        <f t="shared" si="4"/>
        <v>638009.58666666667</v>
      </c>
      <c r="O14" s="19">
        <f>SUM(O7:O13)</f>
        <v>7656118.6699999999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88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5">
      <c r="B17" s="5" t="s">
        <v>34</v>
      </c>
      <c r="C17" s="20">
        <f>43582/12</f>
        <v>3631.8333333333335</v>
      </c>
      <c r="D17" s="20">
        <f t="shared" ref="D17:N17" si="5">43582/12</f>
        <v>3631.8333333333335</v>
      </c>
      <c r="E17" s="20">
        <f t="shared" si="5"/>
        <v>3631.8333333333335</v>
      </c>
      <c r="F17" s="20">
        <f t="shared" si="5"/>
        <v>3631.8333333333335</v>
      </c>
      <c r="G17" s="20">
        <f t="shared" si="5"/>
        <v>3631.8333333333335</v>
      </c>
      <c r="H17" s="20">
        <f t="shared" si="5"/>
        <v>3631.8333333333335</v>
      </c>
      <c r="I17" s="20">
        <f t="shared" si="5"/>
        <v>3631.8333333333335</v>
      </c>
      <c r="J17" s="20">
        <f t="shared" si="5"/>
        <v>3631.8333333333335</v>
      </c>
      <c r="K17" s="20">
        <f t="shared" si="5"/>
        <v>3631.8333333333335</v>
      </c>
      <c r="L17" s="20">
        <f t="shared" si="5"/>
        <v>3631.8333333333335</v>
      </c>
      <c r="M17" s="20">
        <f t="shared" si="5"/>
        <v>3631.8333333333335</v>
      </c>
      <c r="N17" s="20">
        <f t="shared" si="5"/>
        <v>3631.8333333333335</v>
      </c>
      <c r="O17" s="16">
        <f t="shared" ref="O17:O23" si="6">SUM(C17:N17)</f>
        <v>43582</v>
      </c>
    </row>
    <row r="18" spans="1:15">
      <c r="B18" s="5" t="s">
        <v>35</v>
      </c>
      <c r="C18" s="18">
        <f>440821/12</f>
        <v>36735.083333333336</v>
      </c>
      <c r="D18" s="18">
        <f t="shared" ref="D18:N18" si="7">440821/12</f>
        <v>36735.083333333336</v>
      </c>
      <c r="E18" s="18">
        <f t="shared" si="7"/>
        <v>36735.083333333336</v>
      </c>
      <c r="F18" s="18">
        <f t="shared" si="7"/>
        <v>36735.083333333336</v>
      </c>
      <c r="G18" s="18">
        <f t="shared" si="7"/>
        <v>36735.083333333336</v>
      </c>
      <c r="H18" s="18">
        <f t="shared" si="7"/>
        <v>36735.083333333336</v>
      </c>
      <c r="I18" s="18">
        <f t="shared" si="7"/>
        <v>36735.083333333336</v>
      </c>
      <c r="J18" s="18">
        <f t="shared" si="7"/>
        <v>36735.083333333336</v>
      </c>
      <c r="K18" s="18">
        <f t="shared" si="7"/>
        <v>36735.083333333336</v>
      </c>
      <c r="L18" s="18">
        <f t="shared" si="7"/>
        <v>36735.083333333336</v>
      </c>
      <c r="M18" s="18">
        <f t="shared" si="7"/>
        <v>36735.083333333336</v>
      </c>
      <c r="N18" s="18">
        <f t="shared" si="7"/>
        <v>36735.083333333336</v>
      </c>
      <c r="O18" s="16">
        <f t="shared" si="6"/>
        <v>440820.99999999994</v>
      </c>
    </row>
    <row r="19" spans="1:15" hidden="1">
      <c r="B19" s="5" t="s">
        <v>36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>
        <f t="shared" si="6"/>
        <v>0</v>
      </c>
    </row>
    <row r="20" spans="1:15" hidden="1">
      <c r="B20" s="5" t="s">
        <v>37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>
        <f t="shared" si="6"/>
        <v>0</v>
      </c>
    </row>
    <row r="21" spans="1:15" hidden="1">
      <c r="B21" s="5" t="s">
        <v>38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>
        <f t="shared" si="6"/>
        <v>0</v>
      </c>
    </row>
    <row r="22" spans="1:15">
      <c r="B22" s="5" t="s">
        <v>39</v>
      </c>
      <c r="C22" s="18">
        <f>1459651/12</f>
        <v>121637.58333333333</v>
      </c>
      <c r="D22" s="18">
        <f t="shared" ref="D22:M22" si="8">1459651/12</f>
        <v>121637.58333333333</v>
      </c>
      <c r="E22" s="18">
        <f t="shared" si="8"/>
        <v>121637.58333333333</v>
      </c>
      <c r="F22" s="18">
        <f t="shared" si="8"/>
        <v>121637.58333333333</v>
      </c>
      <c r="G22" s="18">
        <f t="shared" si="8"/>
        <v>121637.58333333333</v>
      </c>
      <c r="H22" s="18">
        <f t="shared" si="8"/>
        <v>121637.58333333333</v>
      </c>
      <c r="I22" s="18">
        <f t="shared" si="8"/>
        <v>121637.58333333333</v>
      </c>
      <c r="J22" s="18">
        <f t="shared" si="8"/>
        <v>121637.58333333333</v>
      </c>
      <c r="K22" s="18">
        <f t="shared" si="8"/>
        <v>121637.58333333333</v>
      </c>
      <c r="L22" s="18">
        <f t="shared" si="8"/>
        <v>121637.58333333333</v>
      </c>
      <c r="M22" s="18">
        <f t="shared" si="8"/>
        <v>121637.58333333333</v>
      </c>
      <c r="N22" s="18">
        <f>(1459651/12)-0.33</f>
        <v>121637.25333333333</v>
      </c>
      <c r="O22" s="16">
        <f t="shared" si="6"/>
        <v>1459650.67</v>
      </c>
    </row>
    <row r="23" spans="1:15">
      <c r="B23" s="5" t="s">
        <v>40</v>
      </c>
      <c r="C23" s="18">
        <f>1025555/12</f>
        <v>85462.916666666672</v>
      </c>
      <c r="D23" s="18">
        <f t="shared" ref="D23:N23" si="9">1025555/12</f>
        <v>85462.916666666672</v>
      </c>
      <c r="E23" s="18">
        <f t="shared" si="9"/>
        <v>85462.916666666672</v>
      </c>
      <c r="F23" s="18">
        <f t="shared" si="9"/>
        <v>85462.916666666672</v>
      </c>
      <c r="G23" s="18">
        <f t="shared" si="9"/>
        <v>85462.916666666672</v>
      </c>
      <c r="H23" s="18">
        <f t="shared" si="9"/>
        <v>85462.916666666672</v>
      </c>
      <c r="I23" s="18">
        <f t="shared" si="9"/>
        <v>85462.916666666672</v>
      </c>
      <c r="J23" s="18">
        <f t="shared" si="9"/>
        <v>85462.916666666672</v>
      </c>
      <c r="K23" s="18">
        <f t="shared" si="9"/>
        <v>85462.916666666672</v>
      </c>
      <c r="L23" s="18">
        <f t="shared" si="9"/>
        <v>85462.916666666672</v>
      </c>
      <c r="M23" s="18">
        <f t="shared" si="9"/>
        <v>85462.916666666672</v>
      </c>
      <c r="N23" s="18">
        <f t="shared" si="9"/>
        <v>85462.916666666672</v>
      </c>
      <c r="O23" s="16">
        <f t="shared" si="6"/>
        <v>1025554.9999999999</v>
      </c>
    </row>
    <row r="24" spans="1:15">
      <c r="A24" t="s">
        <v>21</v>
      </c>
      <c r="B24" s="9" t="s">
        <v>49</v>
      </c>
      <c r="C24" s="19">
        <f t="shared" ref="C24:N24" si="10">SUM(C17:C23)</f>
        <v>247467.41666666669</v>
      </c>
      <c r="D24" s="19">
        <f t="shared" si="10"/>
        <v>247467.41666666669</v>
      </c>
      <c r="E24" s="19">
        <f t="shared" si="10"/>
        <v>247467.41666666669</v>
      </c>
      <c r="F24" s="19">
        <f t="shared" si="10"/>
        <v>247467.41666666669</v>
      </c>
      <c r="G24" s="19">
        <f t="shared" si="10"/>
        <v>247467.41666666669</v>
      </c>
      <c r="H24" s="19">
        <f t="shared" si="10"/>
        <v>247467.41666666669</v>
      </c>
      <c r="I24" s="19">
        <f t="shared" si="10"/>
        <v>247467.41666666669</v>
      </c>
      <c r="J24" s="19">
        <f t="shared" si="10"/>
        <v>247467.41666666669</v>
      </c>
      <c r="K24" s="19">
        <f t="shared" si="10"/>
        <v>247467.41666666669</v>
      </c>
      <c r="L24" s="19">
        <f t="shared" si="10"/>
        <v>247467.41666666669</v>
      </c>
      <c r="M24" s="19">
        <f t="shared" si="10"/>
        <v>247467.41666666669</v>
      </c>
      <c r="N24" s="19">
        <f t="shared" si="10"/>
        <v>247467.08666666667</v>
      </c>
      <c r="O24" s="19">
        <f>SUM(O17:O23)</f>
        <v>2969608.67</v>
      </c>
    </row>
    <row r="25" spans="1:15" ht="16.149999999999999" customHeight="1">
      <c r="B25" s="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1:15">
      <c r="B26" s="9" t="s">
        <v>89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5">
      <c r="B27" s="5" t="s">
        <v>34</v>
      </c>
      <c r="C27" s="18">
        <f>711562/12</f>
        <v>59296.833333333336</v>
      </c>
      <c r="D27" s="18">
        <f t="shared" ref="D27:N27" si="11">711562/12</f>
        <v>59296.833333333336</v>
      </c>
      <c r="E27" s="18">
        <f t="shared" si="11"/>
        <v>59296.833333333336</v>
      </c>
      <c r="F27" s="18">
        <f t="shared" si="11"/>
        <v>59296.833333333336</v>
      </c>
      <c r="G27" s="18">
        <f t="shared" si="11"/>
        <v>59296.833333333336</v>
      </c>
      <c r="H27" s="18">
        <f t="shared" si="11"/>
        <v>59296.833333333336</v>
      </c>
      <c r="I27" s="18">
        <f t="shared" si="11"/>
        <v>59296.833333333336</v>
      </c>
      <c r="J27" s="18">
        <f t="shared" si="11"/>
        <v>59296.833333333336</v>
      </c>
      <c r="K27" s="18">
        <f t="shared" si="11"/>
        <v>59296.833333333336</v>
      </c>
      <c r="L27" s="18">
        <f t="shared" si="11"/>
        <v>59296.833333333336</v>
      </c>
      <c r="M27" s="18">
        <f t="shared" si="11"/>
        <v>59296.833333333336</v>
      </c>
      <c r="N27" s="18">
        <f t="shared" si="11"/>
        <v>59296.833333333336</v>
      </c>
      <c r="O27" s="16">
        <f t="shared" ref="O27:O33" si="12">SUM(C27:N27)</f>
        <v>711562.00000000012</v>
      </c>
    </row>
    <row r="28" spans="1:15">
      <c r="B28" s="5" t="s">
        <v>35</v>
      </c>
      <c r="C28" s="18">
        <f>453120/12</f>
        <v>37760</v>
      </c>
      <c r="D28" s="18">
        <f t="shared" ref="D28:N28" si="13">453120/12</f>
        <v>37760</v>
      </c>
      <c r="E28" s="18">
        <f t="shared" si="13"/>
        <v>37760</v>
      </c>
      <c r="F28" s="18">
        <f t="shared" si="13"/>
        <v>37760</v>
      </c>
      <c r="G28" s="18">
        <f t="shared" si="13"/>
        <v>37760</v>
      </c>
      <c r="H28" s="18">
        <f t="shared" si="13"/>
        <v>37760</v>
      </c>
      <c r="I28" s="18">
        <f t="shared" si="13"/>
        <v>37760</v>
      </c>
      <c r="J28" s="18">
        <f t="shared" si="13"/>
        <v>37760</v>
      </c>
      <c r="K28" s="18">
        <f t="shared" si="13"/>
        <v>37760</v>
      </c>
      <c r="L28" s="18">
        <f t="shared" si="13"/>
        <v>37760</v>
      </c>
      <c r="M28" s="18">
        <f t="shared" si="13"/>
        <v>37760</v>
      </c>
      <c r="N28" s="18">
        <f t="shared" si="13"/>
        <v>37760</v>
      </c>
      <c r="O28" s="16">
        <f t="shared" si="12"/>
        <v>453120</v>
      </c>
    </row>
    <row r="29" spans="1:15">
      <c r="B29" s="5" t="s">
        <v>36</v>
      </c>
      <c r="C29" s="18">
        <f>32934/12</f>
        <v>2744.5</v>
      </c>
      <c r="D29" s="18">
        <f t="shared" ref="D29:N29" si="14">32934/12</f>
        <v>2744.5</v>
      </c>
      <c r="E29" s="18">
        <f t="shared" si="14"/>
        <v>2744.5</v>
      </c>
      <c r="F29" s="18">
        <f t="shared" si="14"/>
        <v>2744.5</v>
      </c>
      <c r="G29" s="18">
        <f t="shared" si="14"/>
        <v>2744.5</v>
      </c>
      <c r="H29" s="18">
        <f t="shared" si="14"/>
        <v>2744.5</v>
      </c>
      <c r="I29" s="18">
        <f t="shared" si="14"/>
        <v>2744.5</v>
      </c>
      <c r="J29" s="18">
        <f t="shared" si="14"/>
        <v>2744.5</v>
      </c>
      <c r="K29" s="18">
        <f t="shared" si="14"/>
        <v>2744.5</v>
      </c>
      <c r="L29" s="18">
        <f t="shared" si="14"/>
        <v>2744.5</v>
      </c>
      <c r="M29" s="18">
        <f t="shared" si="14"/>
        <v>2744.5</v>
      </c>
      <c r="N29" s="18">
        <f t="shared" si="14"/>
        <v>2744.5</v>
      </c>
      <c r="O29" s="16">
        <f t="shared" si="12"/>
        <v>32934</v>
      </c>
    </row>
    <row r="30" spans="1:15" hidden="1">
      <c r="B30" s="5" t="s">
        <v>37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>
        <f t="shared" si="12"/>
        <v>0</v>
      </c>
    </row>
    <row r="31" spans="1:15" hidden="1">
      <c r="B31" s="5" t="s">
        <v>38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>
        <f t="shared" si="12"/>
        <v>0</v>
      </c>
    </row>
    <row r="32" spans="1:15" hidden="1">
      <c r="B32" s="5" t="s">
        <v>39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>
        <f t="shared" si="12"/>
        <v>0</v>
      </c>
    </row>
    <row r="33" spans="1:16">
      <c r="B33" s="5" t="s">
        <v>40</v>
      </c>
      <c r="C33" s="18">
        <f>562007/12</f>
        <v>46833.916666666664</v>
      </c>
      <c r="D33" s="18">
        <f t="shared" ref="D33:N33" si="15">562007/12</f>
        <v>46833.916666666664</v>
      </c>
      <c r="E33" s="18">
        <f t="shared" si="15"/>
        <v>46833.916666666664</v>
      </c>
      <c r="F33" s="18">
        <f t="shared" si="15"/>
        <v>46833.916666666664</v>
      </c>
      <c r="G33" s="18">
        <f t="shared" si="15"/>
        <v>46833.916666666664</v>
      </c>
      <c r="H33" s="18">
        <f t="shared" si="15"/>
        <v>46833.916666666664</v>
      </c>
      <c r="I33" s="18">
        <f t="shared" si="15"/>
        <v>46833.916666666664</v>
      </c>
      <c r="J33" s="18">
        <f t="shared" si="15"/>
        <v>46833.916666666664</v>
      </c>
      <c r="K33" s="18">
        <f t="shared" si="15"/>
        <v>46833.916666666664</v>
      </c>
      <c r="L33" s="18">
        <f t="shared" si="15"/>
        <v>46833.916666666664</v>
      </c>
      <c r="M33" s="18">
        <f t="shared" si="15"/>
        <v>46833.916666666664</v>
      </c>
      <c r="N33" s="18">
        <f t="shared" si="15"/>
        <v>46833.916666666664</v>
      </c>
      <c r="O33" s="16">
        <f t="shared" si="12"/>
        <v>562007.00000000012</v>
      </c>
    </row>
    <row r="34" spans="1:16">
      <c r="A34" t="s">
        <v>20</v>
      </c>
      <c r="B34" s="9" t="s">
        <v>48</v>
      </c>
      <c r="C34" s="19">
        <f t="shared" ref="C34:O34" si="16">SUM(C27:C33)</f>
        <v>146635.25</v>
      </c>
      <c r="D34" s="19">
        <f t="shared" si="16"/>
        <v>146635.25</v>
      </c>
      <c r="E34" s="19">
        <f t="shared" si="16"/>
        <v>146635.25</v>
      </c>
      <c r="F34" s="19">
        <f t="shared" si="16"/>
        <v>146635.25</v>
      </c>
      <c r="G34" s="19">
        <f t="shared" si="16"/>
        <v>146635.25</v>
      </c>
      <c r="H34" s="19">
        <f t="shared" si="16"/>
        <v>146635.25</v>
      </c>
      <c r="I34" s="19">
        <f t="shared" si="16"/>
        <v>146635.25</v>
      </c>
      <c r="J34" s="19">
        <f t="shared" si="16"/>
        <v>146635.25</v>
      </c>
      <c r="K34" s="19">
        <f t="shared" si="16"/>
        <v>146635.25</v>
      </c>
      <c r="L34" s="19">
        <f t="shared" si="16"/>
        <v>146635.25</v>
      </c>
      <c r="M34" s="19">
        <f t="shared" si="16"/>
        <v>146635.25</v>
      </c>
      <c r="N34" s="19">
        <f t="shared" si="16"/>
        <v>146635.25</v>
      </c>
      <c r="O34" s="19">
        <f t="shared" si="16"/>
        <v>1759623</v>
      </c>
    </row>
    <row r="35" spans="1:16">
      <c r="B35" s="9"/>
    </row>
    <row r="36" spans="1:16" ht="15.75" thickBot="1">
      <c r="A36" t="s">
        <v>99</v>
      </c>
      <c r="B36" s="9" t="s">
        <v>90</v>
      </c>
      <c r="C36" s="21">
        <f>C34+C24+C14</f>
        <v>1032112.5833333335</v>
      </c>
      <c r="D36" s="21">
        <f t="shared" ref="D36:O36" si="17">D34+D24+D14</f>
        <v>1032112.5833333335</v>
      </c>
      <c r="E36" s="21">
        <f t="shared" si="17"/>
        <v>1032112.5833333335</v>
      </c>
      <c r="F36" s="21">
        <f t="shared" si="17"/>
        <v>1032112.5833333335</v>
      </c>
      <c r="G36" s="21">
        <f t="shared" si="17"/>
        <v>1032112.5833333335</v>
      </c>
      <c r="H36" s="21">
        <f t="shared" si="17"/>
        <v>1032112.5833333335</v>
      </c>
      <c r="I36" s="21">
        <f t="shared" si="17"/>
        <v>1032112.5833333335</v>
      </c>
      <c r="J36" s="21">
        <f t="shared" si="17"/>
        <v>1032112.5833333335</v>
      </c>
      <c r="K36" s="21">
        <f t="shared" si="17"/>
        <v>1032112.5833333335</v>
      </c>
      <c r="L36" s="21">
        <f t="shared" si="17"/>
        <v>1032112.5833333335</v>
      </c>
      <c r="M36" s="21">
        <f t="shared" si="17"/>
        <v>1032112.5833333335</v>
      </c>
      <c r="N36" s="21">
        <f t="shared" si="17"/>
        <v>1032111.9233333333</v>
      </c>
      <c r="O36" s="21">
        <f t="shared" si="17"/>
        <v>12385350.34</v>
      </c>
    </row>
    <row r="37" spans="1:16" ht="15.75" thickTop="1">
      <c r="B37" s="9"/>
    </row>
    <row r="38" spans="1:16">
      <c r="B38" s="10" t="s">
        <v>91</v>
      </c>
    </row>
    <row r="39" spans="1:16">
      <c r="B39" s="6" t="s">
        <v>34</v>
      </c>
      <c r="C39" s="18">
        <v>488162.18</v>
      </c>
      <c r="D39" s="18">
        <v>434112.33</v>
      </c>
      <c r="E39" s="18">
        <v>459542.42</v>
      </c>
      <c r="F39" s="18"/>
      <c r="G39" s="18"/>
      <c r="H39" s="18"/>
      <c r="I39" s="18"/>
      <c r="J39" s="18"/>
      <c r="K39" s="18"/>
      <c r="L39" s="18"/>
      <c r="M39" s="18"/>
      <c r="N39" s="18"/>
      <c r="O39" s="16">
        <f t="shared" ref="O39:O45" si="18">SUM(C39:N39)</f>
        <v>1381816.93</v>
      </c>
      <c r="P39" s="16">
        <f t="shared" ref="P39:P45" si="19">SUM(D39:O39)</f>
        <v>2275471.6799999997</v>
      </c>
    </row>
    <row r="40" spans="1:16">
      <c r="B40" s="6" t="s">
        <v>35</v>
      </c>
      <c r="C40" s="18">
        <v>264080.46999999997</v>
      </c>
      <c r="D40" s="18">
        <v>254836.25</v>
      </c>
      <c r="E40" s="18">
        <v>172869.82</v>
      </c>
      <c r="F40" s="18"/>
      <c r="G40" s="18"/>
      <c r="H40" s="18"/>
      <c r="I40" s="18"/>
      <c r="J40" s="18"/>
      <c r="K40" s="18"/>
      <c r="L40" s="18"/>
      <c r="M40" s="18"/>
      <c r="N40" s="18"/>
      <c r="O40" s="16">
        <f t="shared" si="18"/>
        <v>691786.54</v>
      </c>
      <c r="P40" s="16">
        <f t="shared" si="19"/>
        <v>1119492.6100000001</v>
      </c>
    </row>
    <row r="41" spans="1:16">
      <c r="B41" s="6" t="s">
        <v>36</v>
      </c>
      <c r="C41" s="18">
        <v>13490.45</v>
      </c>
      <c r="D41" s="18">
        <v>18130.919999999998</v>
      </c>
      <c r="E41" s="18">
        <v>231753.28</v>
      </c>
      <c r="F41" s="18"/>
      <c r="G41" s="18"/>
      <c r="H41" s="18"/>
      <c r="I41" s="18"/>
      <c r="J41" s="18"/>
      <c r="K41" s="18"/>
      <c r="L41" s="18"/>
      <c r="M41" s="18"/>
      <c r="N41" s="18"/>
      <c r="O41" s="16">
        <f t="shared" si="18"/>
        <v>263374.65000000002</v>
      </c>
      <c r="P41" s="16">
        <f t="shared" si="19"/>
        <v>513258.85000000003</v>
      </c>
    </row>
    <row r="42" spans="1:16" hidden="1">
      <c r="B42" s="6" t="s">
        <v>37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6">
        <f t="shared" si="18"/>
        <v>0</v>
      </c>
      <c r="P42" s="16">
        <f t="shared" si="19"/>
        <v>0</v>
      </c>
    </row>
    <row r="43" spans="1:16" hidden="1">
      <c r="B43" s="6" t="s">
        <v>38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8"/>
        <v>0</v>
      </c>
      <c r="P43" s="16">
        <f t="shared" si="19"/>
        <v>0</v>
      </c>
    </row>
    <row r="44" spans="1:16" hidden="1">
      <c r="B44" s="6" t="s">
        <v>39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8"/>
        <v>0</v>
      </c>
      <c r="P44" s="16">
        <f t="shared" si="19"/>
        <v>0</v>
      </c>
    </row>
    <row r="45" spans="1:16" hidden="1">
      <c r="B45" s="6" t="s">
        <v>40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6">
        <f t="shared" si="18"/>
        <v>0</v>
      </c>
      <c r="P45" s="16">
        <f t="shared" si="19"/>
        <v>0</v>
      </c>
    </row>
    <row r="46" spans="1:16">
      <c r="A46" t="s">
        <v>24</v>
      </c>
      <c r="B46" s="10" t="s">
        <v>42</v>
      </c>
      <c r="C46" s="19">
        <f>SUM(C39:C45)</f>
        <v>765733.09999999986</v>
      </c>
      <c r="D46" s="19">
        <f t="shared" ref="D46:E46" si="20">SUM(D39:D45)</f>
        <v>707079.50000000012</v>
      </c>
      <c r="E46" s="19">
        <f t="shared" si="20"/>
        <v>864165.52</v>
      </c>
      <c r="F46" s="19">
        <f t="shared" ref="F46:N46" si="21">SUM(F39:F45)</f>
        <v>0</v>
      </c>
      <c r="G46" s="19">
        <f t="shared" si="21"/>
        <v>0</v>
      </c>
      <c r="H46" s="19">
        <f t="shared" si="21"/>
        <v>0</v>
      </c>
      <c r="I46" s="19">
        <f t="shared" si="21"/>
        <v>0</v>
      </c>
      <c r="J46" s="19">
        <f t="shared" si="21"/>
        <v>0</v>
      </c>
      <c r="K46" s="19">
        <f t="shared" si="21"/>
        <v>0</v>
      </c>
      <c r="L46" s="19">
        <f t="shared" si="21"/>
        <v>0</v>
      </c>
      <c r="M46" s="19">
        <f t="shared" si="21"/>
        <v>0</v>
      </c>
      <c r="N46" s="19">
        <f t="shared" si="21"/>
        <v>0</v>
      </c>
      <c r="O46" s="19">
        <f t="shared" ref="O46" si="22">SUM(O39:O45)</f>
        <v>2336978.12</v>
      </c>
      <c r="P46" s="19">
        <f>SUM(P39:P45)</f>
        <v>3908223.14</v>
      </c>
    </row>
    <row r="47" spans="1:16"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>
      <c r="B48" s="10" t="s">
        <v>92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6"/>
      <c r="P48" s="18"/>
    </row>
    <row r="49" spans="1:16">
      <c r="B49" s="6" t="s">
        <v>34</v>
      </c>
      <c r="C49" s="18">
        <v>252108</v>
      </c>
      <c r="D49" s="18">
        <v>18129.96</v>
      </c>
      <c r="E49" s="18">
        <v>89534.39</v>
      </c>
      <c r="F49" s="18"/>
      <c r="G49" s="18"/>
      <c r="H49" s="18"/>
      <c r="I49" s="18"/>
      <c r="J49" s="18"/>
      <c r="K49" s="18"/>
      <c r="L49" s="18"/>
      <c r="M49" s="18"/>
      <c r="N49" s="18"/>
      <c r="O49" s="16">
        <f t="shared" ref="O49:O55" si="23">SUM(C49:N49)</f>
        <v>359772.35000000003</v>
      </c>
      <c r="P49" s="16">
        <f t="shared" ref="P49:P55" si="24">SUM(D49:O49)</f>
        <v>467436.70000000007</v>
      </c>
    </row>
    <row r="50" spans="1:16">
      <c r="B50" s="6" t="s">
        <v>35</v>
      </c>
      <c r="C50" s="18">
        <v>71030.92</v>
      </c>
      <c r="D50" s="18">
        <v>34450.18</v>
      </c>
      <c r="E50" s="18">
        <v>62245.01</v>
      </c>
      <c r="F50" s="18"/>
      <c r="G50" s="18"/>
      <c r="H50" s="18"/>
      <c r="I50" s="18"/>
      <c r="J50" s="18"/>
      <c r="K50" s="18"/>
      <c r="L50" s="18"/>
      <c r="M50" s="18"/>
      <c r="N50" s="18"/>
      <c r="O50" s="16">
        <f t="shared" si="23"/>
        <v>167726.11000000002</v>
      </c>
      <c r="P50" s="16">
        <f t="shared" si="24"/>
        <v>264421.30000000005</v>
      </c>
    </row>
    <row r="51" spans="1:16">
      <c r="B51" s="6" t="s">
        <v>36</v>
      </c>
      <c r="C51" s="18">
        <v>-69378.509999999995</v>
      </c>
      <c r="D51" s="18">
        <v>2981.95</v>
      </c>
      <c r="E51" s="18">
        <v>46077.66</v>
      </c>
      <c r="F51" s="18"/>
      <c r="G51" s="18"/>
      <c r="H51" s="18"/>
      <c r="I51" s="18"/>
      <c r="J51" s="18"/>
      <c r="K51" s="18"/>
      <c r="L51" s="18"/>
      <c r="M51" s="18"/>
      <c r="N51" s="18"/>
      <c r="O51" s="16">
        <f t="shared" si="23"/>
        <v>-20318.899999999994</v>
      </c>
      <c r="P51" s="16">
        <f t="shared" si="24"/>
        <v>28740.710000000006</v>
      </c>
    </row>
    <row r="52" spans="1:16">
      <c r="B52" s="6" t="s">
        <v>37</v>
      </c>
      <c r="C52" s="18">
        <v>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6">
        <f t="shared" si="23"/>
        <v>0</v>
      </c>
      <c r="P52" s="16">
        <f t="shared" si="24"/>
        <v>0</v>
      </c>
    </row>
    <row r="53" spans="1:16">
      <c r="B53" s="6" t="s">
        <v>38</v>
      </c>
      <c r="C53" s="18">
        <v>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6">
        <f t="shared" si="23"/>
        <v>0</v>
      </c>
      <c r="P53" s="16">
        <f t="shared" si="24"/>
        <v>0</v>
      </c>
    </row>
    <row r="54" spans="1:16">
      <c r="B54" s="6" t="s">
        <v>39</v>
      </c>
      <c r="C54" s="18">
        <v>477.26</v>
      </c>
      <c r="D54" s="18">
        <v>521.16999999999996</v>
      </c>
      <c r="E54" s="18">
        <v>301654.65999999997</v>
      </c>
      <c r="F54" s="18"/>
      <c r="G54" s="18"/>
      <c r="H54" s="18"/>
      <c r="I54" s="18"/>
      <c r="J54" s="18"/>
      <c r="K54" s="18"/>
      <c r="L54" s="18"/>
      <c r="M54" s="18"/>
      <c r="N54" s="18"/>
      <c r="O54" s="16">
        <f t="shared" si="23"/>
        <v>302653.08999999997</v>
      </c>
      <c r="P54" s="16">
        <f t="shared" si="24"/>
        <v>604828.91999999993</v>
      </c>
    </row>
    <row r="55" spans="1:16">
      <c r="B55" s="6" t="s">
        <v>40</v>
      </c>
      <c r="C55" s="18">
        <v>80662.33</v>
      </c>
      <c r="D55" s="18">
        <v>85328.25</v>
      </c>
      <c r="E55" s="18">
        <v>105625.93</v>
      </c>
      <c r="F55" s="18"/>
      <c r="G55" s="18"/>
      <c r="H55" s="18"/>
      <c r="I55" s="18"/>
      <c r="J55" s="18"/>
      <c r="K55" s="18"/>
      <c r="L55" s="18"/>
      <c r="M55" s="18"/>
      <c r="N55" s="18"/>
      <c r="O55" s="16">
        <f t="shared" si="23"/>
        <v>271616.51</v>
      </c>
      <c r="P55" s="16">
        <f t="shared" si="24"/>
        <v>462570.69</v>
      </c>
    </row>
    <row r="56" spans="1:16">
      <c r="A56" t="s">
        <v>100</v>
      </c>
      <c r="B56" s="10" t="s">
        <v>93</v>
      </c>
      <c r="C56" s="19">
        <f t="shared" ref="C56:E56" si="25">SUM(C49:C55)</f>
        <v>334900</v>
      </c>
      <c r="D56" s="19">
        <f t="shared" si="25"/>
        <v>141411.51</v>
      </c>
      <c r="E56" s="19">
        <f t="shared" si="25"/>
        <v>605137.64999999991</v>
      </c>
      <c r="F56" s="19">
        <f t="shared" ref="F56:O56" si="26">SUM(F49:F55)</f>
        <v>0</v>
      </c>
      <c r="G56" s="19">
        <f t="shared" si="26"/>
        <v>0</v>
      </c>
      <c r="H56" s="19">
        <f t="shared" si="26"/>
        <v>0</v>
      </c>
      <c r="I56" s="19">
        <f t="shared" si="26"/>
        <v>0</v>
      </c>
      <c r="J56" s="19">
        <f t="shared" si="26"/>
        <v>0</v>
      </c>
      <c r="K56" s="19">
        <f t="shared" si="26"/>
        <v>0</v>
      </c>
      <c r="L56" s="19">
        <f t="shared" si="26"/>
        <v>0</v>
      </c>
      <c r="M56" s="19">
        <f t="shared" si="26"/>
        <v>0</v>
      </c>
      <c r="N56" s="19">
        <f t="shared" si="26"/>
        <v>0</v>
      </c>
      <c r="O56" s="19">
        <f t="shared" si="26"/>
        <v>1081449.1600000001</v>
      </c>
      <c r="P56" s="19">
        <f>SUM(P49:P55)</f>
        <v>1827998.3199999998</v>
      </c>
    </row>
    <row r="57" spans="1:16"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>
      <c r="B58" s="10" t="s">
        <v>94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>
      <c r="B59" s="6" t="s">
        <v>34</v>
      </c>
      <c r="C59" s="18">
        <v>8113.02</v>
      </c>
      <c r="D59" s="18">
        <v>10261.23</v>
      </c>
      <c r="E59" s="18">
        <v>9344.85</v>
      </c>
      <c r="F59" s="18"/>
      <c r="G59" s="18"/>
      <c r="H59" s="18"/>
      <c r="I59" s="18"/>
      <c r="J59" s="18"/>
      <c r="K59" s="18"/>
      <c r="L59" s="18"/>
      <c r="M59" s="18"/>
      <c r="N59" s="18"/>
      <c r="O59" s="16">
        <f t="shared" ref="O59:O65" si="27">SUM(C59:N59)</f>
        <v>27719.1</v>
      </c>
      <c r="P59" s="16">
        <f t="shared" ref="P59:P65" si="28">SUM(D59:O59)</f>
        <v>47325.18</v>
      </c>
    </row>
    <row r="60" spans="1:16">
      <c r="B60" s="6" t="s">
        <v>35</v>
      </c>
      <c r="C60" s="18">
        <v>116.22</v>
      </c>
      <c r="D60" s="18">
        <v>144.19999999999999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6">
        <f t="shared" si="27"/>
        <v>260.41999999999996</v>
      </c>
      <c r="P60" s="16">
        <f t="shared" si="28"/>
        <v>404.61999999999995</v>
      </c>
    </row>
    <row r="61" spans="1:16">
      <c r="B61" s="6" t="s">
        <v>36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6">
        <f t="shared" si="27"/>
        <v>0</v>
      </c>
      <c r="P61" s="16">
        <f t="shared" si="28"/>
        <v>0</v>
      </c>
    </row>
    <row r="62" spans="1:16" hidden="1">
      <c r="B62" s="6" t="s">
        <v>37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6">
        <f t="shared" si="27"/>
        <v>0</v>
      </c>
      <c r="P62" s="16">
        <f t="shared" si="28"/>
        <v>0</v>
      </c>
    </row>
    <row r="63" spans="1:16" hidden="1">
      <c r="B63" s="6" t="s">
        <v>38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6">
        <f t="shared" si="27"/>
        <v>0</v>
      </c>
      <c r="P63" s="16">
        <f t="shared" si="28"/>
        <v>0</v>
      </c>
    </row>
    <row r="64" spans="1:16">
      <c r="B64" s="6" t="s">
        <v>39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6">
        <f t="shared" si="27"/>
        <v>0</v>
      </c>
      <c r="P64" s="16">
        <f t="shared" si="28"/>
        <v>0</v>
      </c>
    </row>
    <row r="65" spans="1:16">
      <c r="B65" s="6" t="s">
        <v>40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6">
        <f t="shared" si="27"/>
        <v>0</v>
      </c>
      <c r="P65" s="16">
        <f t="shared" si="28"/>
        <v>0</v>
      </c>
    </row>
    <row r="66" spans="1:16">
      <c r="A66" t="s">
        <v>101</v>
      </c>
      <c r="B66" s="10" t="s">
        <v>43</v>
      </c>
      <c r="C66" s="19">
        <f t="shared" ref="C66" si="29">SUM(C59:C65)</f>
        <v>8229.24</v>
      </c>
      <c r="D66" s="19">
        <f t="shared" ref="D66:P66" si="30">SUM(D59:D65)</f>
        <v>10405.43</v>
      </c>
      <c r="E66" s="19">
        <f t="shared" si="30"/>
        <v>9344.85</v>
      </c>
      <c r="F66" s="19">
        <f t="shared" si="30"/>
        <v>0</v>
      </c>
      <c r="G66" s="19">
        <f t="shared" si="30"/>
        <v>0</v>
      </c>
      <c r="H66" s="19">
        <f t="shared" si="30"/>
        <v>0</v>
      </c>
      <c r="I66" s="19">
        <f t="shared" si="30"/>
        <v>0</v>
      </c>
      <c r="J66" s="19">
        <f t="shared" si="30"/>
        <v>0</v>
      </c>
      <c r="K66" s="19">
        <f t="shared" si="30"/>
        <v>0</v>
      </c>
      <c r="L66" s="19">
        <f t="shared" si="30"/>
        <v>0</v>
      </c>
      <c r="M66" s="19">
        <f t="shared" si="30"/>
        <v>0</v>
      </c>
      <c r="N66" s="19">
        <f t="shared" si="30"/>
        <v>0</v>
      </c>
      <c r="O66" s="19">
        <f t="shared" si="30"/>
        <v>27979.519999999997</v>
      </c>
      <c r="P66" s="19">
        <f t="shared" si="30"/>
        <v>47729.8</v>
      </c>
    </row>
    <row r="67" spans="1:16"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thickBot="1">
      <c r="A68" t="s">
        <v>102</v>
      </c>
      <c r="B68" s="10" t="s">
        <v>95</v>
      </c>
      <c r="C68" s="21">
        <f>C66+C56+C46</f>
        <v>1108862.3399999999</v>
      </c>
      <c r="D68" s="21">
        <f>D66+D56+D46</f>
        <v>858896.44000000018</v>
      </c>
      <c r="E68" s="21">
        <f t="shared" ref="E68:P68" si="31">E66+E56+E46</f>
        <v>1478648.02</v>
      </c>
      <c r="F68" s="21">
        <f t="shared" si="31"/>
        <v>0</v>
      </c>
      <c r="G68" s="21">
        <f t="shared" si="31"/>
        <v>0</v>
      </c>
      <c r="H68" s="21">
        <f t="shared" si="31"/>
        <v>0</v>
      </c>
      <c r="I68" s="21">
        <f t="shared" si="31"/>
        <v>0</v>
      </c>
      <c r="J68" s="21">
        <f t="shared" si="31"/>
        <v>0</v>
      </c>
      <c r="K68" s="21">
        <f t="shared" si="31"/>
        <v>0</v>
      </c>
      <c r="L68" s="21">
        <f t="shared" si="31"/>
        <v>0</v>
      </c>
      <c r="M68" s="21">
        <f t="shared" si="31"/>
        <v>0</v>
      </c>
      <c r="N68" s="21">
        <f t="shared" si="31"/>
        <v>0</v>
      </c>
      <c r="O68" s="21">
        <f t="shared" si="31"/>
        <v>3446406.8000000003</v>
      </c>
      <c r="P68" s="21">
        <f t="shared" si="31"/>
        <v>5783951.2599999998</v>
      </c>
    </row>
    <row r="69" spans="1:16" ht="15.75" thickTop="1">
      <c r="B69" s="9"/>
    </row>
    <row r="70" spans="1:16">
      <c r="B70" s="38" t="s">
        <v>44</v>
      </c>
    </row>
    <row r="71" spans="1:16">
      <c r="B71" s="38" t="s">
        <v>96</v>
      </c>
    </row>
    <row r="72" spans="1:16">
      <c r="B72" s="37" t="s">
        <v>34</v>
      </c>
      <c r="C72" s="31">
        <f>C7-C39</f>
        <v>-85414.763333333307</v>
      </c>
      <c r="D72" s="31">
        <f t="shared" ref="D72:E72" si="32">D7-D39</f>
        <v>-31364.91333333333</v>
      </c>
      <c r="E72" s="31">
        <f t="shared" si="32"/>
        <v>-56795.003333333298</v>
      </c>
      <c r="F72" s="31"/>
      <c r="G72" s="31"/>
      <c r="H72" s="31"/>
      <c r="I72" s="31"/>
      <c r="J72" s="31"/>
      <c r="K72" s="31"/>
      <c r="L72" s="31"/>
      <c r="M72" s="31"/>
      <c r="N72" s="31"/>
      <c r="O72" s="16">
        <f t="shared" ref="O72:O78" si="33">SUM(C72:N72)</f>
        <v>-173574.67999999993</v>
      </c>
    </row>
    <row r="73" spans="1:16">
      <c r="B73" s="37" t="s">
        <v>35</v>
      </c>
      <c r="C73" s="31">
        <f t="shared" ref="C73:E79" si="34">C8-C40</f>
        <v>-86808.803333333315</v>
      </c>
      <c r="D73" s="31">
        <f t="shared" si="34"/>
        <v>-77564.583333333343</v>
      </c>
      <c r="E73" s="31">
        <f t="shared" si="34"/>
        <v>4401.84666666665</v>
      </c>
      <c r="F73" s="31"/>
      <c r="G73" s="31"/>
      <c r="H73" s="31"/>
      <c r="I73" s="31"/>
      <c r="J73" s="31"/>
      <c r="K73" s="31"/>
      <c r="L73" s="31"/>
      <c r="M73" s="31"/>
      <c r="N73" s="31"/>
      <c r="O73" s="16">
        <f t="shared" si="33"/>
        <v>-159971.54</v>
      </c>
    </row>
    <row r="74" spans="1:16">
      <c r="B74" s="37" t="s">
        <v>36</v>
      </c>
      <c r="C74" s="31">
        <f t="shared" si="34"/>
        <v>44500.383333333331</v>
      </c>
      <c r="D74" s="31">
        <f t="shared" si="34"/>
        <v>39859.913333333338</v>
      </c>
      <c r="E74" s="31">
        <f t="shared" si="34"/>
        <v>-173762.44666666666</v>
      </c>
      <c r="F74" s="31"/>
      <c r="G74" s="31"/>
      <c r="H74" s="31"/>
      <c r="I74" s="31"/>
      <c r="J74" s="31"/>
      <c r="K74" s="31"/>
      <c r="L74" s="31"/>
      <c r="M74" s="31"/>
      <c r="N74" s="31"/>
      <c r="O74" s="16">
        <f t="shared" si="33"/>
        <v>-89402.15</v>
      </c>
    </row>
    <row r="75" spans="1:16" hidden="1">
      <c r="B75" s="37" t="s">
        <v>37</v>
      </c>
      <c r="C75" s="31">
        <f t="shared" si="34"/>
        <v>0</v>
      </c>
      <c r="D75" s="31">
        <f t="shared" si="34"/>
        <v>0</v>
      </c>
      <c r="E75" s="31">
        <f t="shared" si="34"/>
        <v>0</v>
      </c>
      <c r="F75" s="31"/>
      <c r="G75" s="31"/>
      <c r="H75" s="31"/>
      <c r="I75" s="31"/>
      <c r="J75" s="31"/>
      <c r="K75" s="31"/>
      <c r="L75" s="31"/>
      <c r="M75" s="31"/>
      <c r="N75" s="31"/>
      <c r="O75" s="16">
        <f t="shared" si="33"/>
        <v>0</v>
      </c>
    </row>
    <row r="76" spans="1:16" hidden="1">
      <c r="B76" s="37" t="s">
        <v>38</v>
      </c>
      <c r="C76" s="31">
        <f t="shared" si="34"/>
        <v>0</v>
      </c>
      <c r="D76" s="31">
        <f t="shared" si="34"/>
        <v>0</v>
      </c>
      <c r="E76" s="31">
        <f t="shared" si="34"/>
        <v>0</v>
      </c>
      <c r="F76" s="31"/>
      <c r="G76" s="31"/>
      <c r="H76" s="31"/>
      <c r="I76" s="31"/>
      <c r="J76" s="31"/>
      <c r="K76" s="31"/>
      <c r="L76" s="31"/>
      <c r="M76" s="31"/>
      <c r="N76" s="31"/>
      <c r="O76" s="16">
        <f t="shared" si="33"/>
        <v>0</v>
      </c>
    </row>
    <row r="77" spans="1:16" hidden="1">
      <c r="B77" s="37" t="s">
        <v>39</v>
      </c>
      <c r="C77" s="31">
        <f t="shared" si="34"/>
        <v>0</v>
      </c>
      <c r="D77" s="31">
        <f t="shared" si="34"/>
        <v>0</v>
      </c>
      <c r="E77" s="31">
        <f t="shared" si="34"/>
        <v>0</v>
      </c>
      <c r="F77" s="31"/>
      <c r="G77" s="31"/>
      <c r="H77" s="31"/>
      <c r="I77" s="31"/>
      <c r="J77" s="31"/>
      <c r="K77" s="31"/>
      <c r="L77" s="31"/>
      <c r="M77" s="31"/>
      <c r="N77" s="31"/>
      <c r="O77" s="16">
        <f t="shared" si="33"/>
        <v>0</v>
      </c>
    </row>
    <row r="78" spans="1:16" hidden="1">
      <c r="B78" s="37" t="s">
        <v>40</v>
      </c>
      <c r="C78" s="31">
        <f t="shared" si="34"/>
        <v>0</v>
      </c>
      <c r="D78" s="31">
        <f t="shared" si="34"/>
        <v>0</v>
      </c>
      <c r="E78" s="31">
        <f t="shared" si="34"/>
        <v>0</v>
      </c>
      <c r="F78" s="31"/>
      <c r="G78" s="31"/>
      <c r="H78" s="31"/>
      <c r="I78" s="31"/>
      <c r="J78" s="31"/>
      <c r="K78" s="31"/>
      <c r="L78" s="31"/>
      <c r="M78" s="31"/>
      <c r="N78" s="31"/>
      <c r="O78" s="16">
        <f t="shared" si="33"/>
        <v>0</v>
      </c>
    </row>
    <row r="79" spans="1:16">
      <c r="A79" t="s">
        <v>103</v>
      </c>
      <c r="B79" s="38" t="s">
        <v>45</v>
      </c>
      <c r="C79" s="19">
        <f t="shared" si="34"/>
        <v>-127723.18333333312</v>
      </c>
      <c r="D79" s="19">
        <f t="shared" si="34"/>
        <v>-69069.583333333372</v>
      </c>
      <c r="E79" s="19">
        <f t="shared" si="34"/>
        <v>-226155.60333333327</v>
      </c>
      <c r="F79" s="19"/>
      <c r="G79" s="19"/>
      <c r="H79" s="19"/>
      <c r="I79" s="19"/>
      <c r="J79" s="19"/>
      <c r="K79" s="19"/>
      <c r="L79" s="19"/>
      <c r="M79" s="19"/>
      <c r="N79" s="19"/>
      <c r="O79" s="19">
        <f t="shared" ref="O79" si="35">SUM(O72:O78)</f>
        <v>-422948.37</v>
      </c>
    </row>
    <row r="80" spans="1:16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18"/>
    </row>
    <row r="81" spans="1:15">
      <c r="B81" s="38" t="s">
        <v>97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16"/>
    </row>
    <row r="82" spans="1:15">
      <c r="B82" s="37" t="s">
        <v>34</v>
      </c>
      <c r="C82" s="31">
        <f t="shared" ref="C82:E82" si="36">C17-C49</f>
        <v>-248476.16666666666</v>
      </c>
      <c r="D82" s="31">
        <f t="shared" si="36"/>
        <v>-14498.126666666665</v>
      </c>
      <c r="E82" s="31">
        <f t="shared" si="36"/>
        <v>-85902.556666666671</v>
      </c>
      <c r="F82" s="30"/>
      <c r="G82" s="30"/>
      <c r="H82" s="30"/>
      <c r="I82" s="30"/>
      <c r="J82" s="30"/>
      <c r="K82" s="30"/>
      <c r="L82" s="30"/>
      <c r="M82" s="30"/>
      <c r="N82" s="30"/>
      <c r="O82" s="16">
        <f t="shared" ref="O82:O88" si="37">SUM(C82:N82)</f>
        <v>-348876.85</v>
      </c>
    </row>
    <row r="83" spans="1:15">
      <c r="B83" s="37" t="s">
        <v>35</v>
      </c>
      <c r="C83" s="31">
        <f t="shared" ref="C83:E83" si="38">C18-C50</f>
        <v>-34295.836666666662</v>
      </c>
      <c r="D83" s="31">
        <f t="shared" si="38"/>
        <v>2284.9033333333355</v>
      </c>
      <c r="E83" s="31">
        <f t="shared" si="38"/>
        <v>-25509.926666666666</v>
      </c>
      <c r="F83" s="30"/>
      <c r="G83" s="30"/>
      <c r="H83" s="30"/>
      <c r="I83" s="30"/>
      <c r="J83" s="30"/>
      <c r="K83" s="30"/>
      <c r="L83" s="30"/>
      <c r="M83" s="30"/>
      <c r="N83" s="30"/>
      <c r="O83" s="16">
        <f t="shared" si="37"/>
        <v>-57520.859999999993</v>
      </c>
    </row>
    <row r="84" spans="1:15" hidden="1">
      <c r="B84" s="37" t="s">
        <v>36</v>
      </c>
      <c r="C84" s="31">
        <f t="shared" ref="C84:E84" si="39">C19-C51</f>
        <v>69378.509999999995</v>
      </c>
      <c r="D84" s="31">
        <f t="shared" si="39"/>
        <v>-2981.95</v>
      </c>
      <c r="E84" s="31">
        <f t="shared" si="39"/>
        <v>-46077.66</v>
      </c>
      <c r="F84" s="30"/>
      <c r="G84" s="30"/>
      <c r="H84" s="30"/>
      <c r="I84" s="30"/>
      <c r="J84" s="30"/>
      <c r="K84" s="30"/>
      <c r="L84" s="30"/>
      <c r="M84" s="30"/>
      <c r="N84" s="30"/>
      <c r="O84" s="16">
        <f t="shared" si="37"/>
        <v>20318.899999999994</v>
      </c>
    </row>
    <row r="85" spans="1:15" hidden="1">
      <c r="B85" s="37" t="s">
        <v>37</v>
      </c>
      <c r="C85" s="31">
        <f t="shared" ref="C85:E85" si="40">C20-C52</f>
        <v>0</v>
      </c>
      <c r="D85" s="31">
        <f t="shared" si="40"/>
        <v>0</v>
      </c>
      <c r="E85" s="31">
        <f t="shared" si="40"/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16">
        <f t="shared" si="37"/>
        <v>0</v>
      </c>
    </row>
    <row r="86" spans="1:15" hidden="1">
      <c r="B86" s="37" t="s">
        <v>38</v>
      </c>
      <c r="C86" s="31">
        <f t="shared" ref="C86:E86" si="41">C21-C53</f>
        <v>0</v>
      </c>
      <c r="D86" s="31">
        <f t="shared" si="41"/>
        <v>0</v>
      </c>
      <c r="E86" s="31">
        <f t="shared" si="41"/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16">
        <f t="shared" si="37"/>
        <v>0</v>
      </c>
    </row>
    <row r="87" spans="1:15">
      <c r="B87" s="37" t="s">
        <v>39</v>
      </c>
      <c r="C87" s="31">
        <f t="shared" ref="C87:E87" si="42">C22-C54</f>
        <v>121160.32333333333</v>
      </c>
      <c r="D87" s="31">
        <f t="shared" si="42"/>
        <v>121116.41333333333</v>
      </c>
      <c r="E87" s="31">
        <f t="shared" si="42"/>
        <v>-180017.07666666666</v>
      </c>
      <c r="F87" s="30"/>
      <c r="G87" s="30"/>
      <c r="H87" s="30"/>
      <c r="I87" s="30"/>
      <c r="J87" s="30"/>
      <c r="K87" s="30"/>
      <c r="L87" s="30"/>
      <c r="M87" s="30"/>
      <c r="N87" s="30"/>
      <c r="O87" s="16">
        <f t="shared" si="37"/>
        <v>62259.66</v>
      </c>
    </row>
    <row r="88" spans="1:15">
      <c r="B88" s="37" t="s">
        <v>40</v>
      </c>
      <c r="C88" s="31">
        <f t="shared" ref="C88:E88" si="43">C23-C55</f>
        <v>4800.5866666666698</v>
      </c>
      <c r="D88" s="31">
        <f t="shared" si="43"/>
        <v>134.66666666667152</v>
      </c>
      <c r="E88" s="31">
        <f t="shared" si="43"/>
        <v>-20163.013333333321</v>
      </c>
      <c r="F88" s="30"/>
      <c r="G88" s="30"/>
      <c r="H88" s="30"/>
      <c r="I88" s="30"/>
      <c r="J88" s="30"/>
      <c r="K88" s="30"/>
      <c r="L88" s="30"/>
      <c r="M88" s="30"/>
      <c r="N88" s="30"/>
      <c r="O88" s="16">
        <f t="shared" si="37"/>
        <v>-15227.75999999998</v>
      </c>
    </row>
    <row r="89" spans="1:15">
      <c r="A89" t="s">
        <v>104</v>
      </c>
      <c r="B89" s="38" t="s">
        <v>45</v>
      </c>
      <c r="C89" s="19">
        <f t="shared" ref="C89:E89" si="44">C24-C56</f>
        <v>-87432.583333333314</v>
      </c>
      <c r="D89" s="19">
        <f t="shared" si="44"/>
        <v>106055.90666666668</v>
      </c>
      <c r="E89" s="19">
        <f t="shared" si="44"/>
        <v>-357670.23333333322</v>
      </c>
      <c r="F89" s="19"/>
      <c r="G89" s="19"/>
      <c r="H89" s="19"/>
      <c r="I89" s="19"/>
      <c r="J89" s="19"/>
      <c r="K89" s="19"/>
      <c r="L89" s="19"/>
      <c r="M89" s="19"/>
      <c r="N89" s="19"/>
      <c r="O89" s="19">
        <f t="shared" ref="O89" si="45">SUM(O82:O88)</f>
        <v>-339046.90999999992</v>
      </c>
    </row>
    <row r="90" spans="1:15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18"/>
    </row>
    <row r="91" spans="1:15">
      <c r="B91" s="38" t="s">
        <v>98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18"/>
    </row>
    <row r="92" spans="1:15">
      <c r="B92" s="37" t="s">
        <v>34</v>
      </c>
      <c r="C92" s="31">
        <f t="shared" ref="C92:E92" si="46">C27-C59</f>
        <v>51183.813333333339</v>
      </c>
      <c r="D92" s="31">
        <f t="shared" si="46"/>
        <v>49035.603333333333</v>
      </c>
      <c r="E92" s="31">
        <f t="shared" si="46"/>
        <v>49951.983333333337</v>
      </c>
      <c r="F92" s="30"/>
      <c r="G92" s="30"/>
      <c r="H92" s="30"/>
      <c r="I92" s="30"/>
      <c r="J92" s="30"/>
      <c r="K92" s="30"/>
      <c r="L92" s="30"/>
      <c r="M92" s="30"/>
      <c r="N92" s="30"/>
      <c r="O92" s="16">
        <f t="shared" ref="O92:O98" si="47">SUM(C92:N92)</f>
        <v>150171.40000000002</v>
      </c>
    </row>
    <row r="93" spans="1:15">
      <c r="B93" s="37" t="s">
        <v>35</v>
      </c>
      <c r="C93" s="31">
        <f t="shared" ref="C93:E93" si="48">C28-C60</f>
        <v>37643.78</v>
      </c>
      <c r="D93" s="31">
        <f t="shared" si="48"/>
        <v>37615.800000000003</v>
      </c>
      <c r="E93" s="31">
        <f t="shared" si="48"/>
        <v>37760</v>
      </c>
      <c r="F93" s="30"/>
      <c r="G93" s="30"/>
      <c r="H93" s="30"/>
      <c r="I93" s="30"/>
      <c r="J93" s="30"/>
      <c r="K93" s="30"/>
      <c r="L93" s="30"/>
      <c r="M93" s="30"/>
      <c r="N93" s="30"/>
      <c r="O93" s="16">
        <f t="shared" si="47"/>
        <v>113019.58</v>
      </c>
    </row>
    <row r="94" spans="1:15">
      <c r="B94" s="37" t="s">
        <v>36</v>
      </c>
      <c r="C94" s="31">
        <f t="shared" ref="C94:E94" si="49">C29-C61</f>
        <v>2744.5</v>
      </c>
      <c r="D94" s="31">
        <f t="shared" si="49"/>
        <v>2744.5</v>
      </c>
      <c r="E94" s="31">
        <f t="shared" si="49"/>
        <v>2744.5</v>
      </c>
      <c r="F94" s="30"/>
      <c r="G94" s="30"/>
      <c r="H94" s="30"/>
      <c r="I94" s="30"/>
      <c r="J94" s="30"/>
      <c r="K94" s="30"/>
      <c r="L94" s="30"/>
      <c r="M94" s="30"/>
      <c r="N94" s="30"/>
      <c r="O94" s="16">
        <f t="shared" si="47"/>
        <v>8233.5</v>
      </c>
    </row>
    <row r="95" spans="1:15" hidden="1">
      <c r="B95" s="37" t="s">
        <v>37</v>
      </c>
      <c r="C95" s="31">
        <f t="shared" ref="C95:E95" si="50">C30-C62</f>
        <v>0</v>
      </c>
      <c r="D95" s="31">
        <f t="shared" si="50"/>
        <v>0</v>
      </c>
      <c r="E95" s="31">
        <f t="shared" si="50"/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16">
        <f t="shared" si="47"/>
        <v>0</v>
      </c>
    </row>
    <row r="96" spans="1:15" hidden="1">
      <c r="B96" s="37" t="s">
        <v>38</v>
      </c>
      <c r="C96" s="31">
        <f t="shared" ref="C96:E96" si="51">C31-C63</f>
        <v>0</v>
      </c>
      <c r="D96" s="31">
        <f t="shared" si="51"/>
        <v>0</v>
      </c>
      <c r="E96" s="31">
        <f t="shared" si="51"/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16">
        <f t="shared" si="47"/>
        <v>0</v>
      </c>
    </row>
    <row r="97" spans="1:15" hidden="1">
      <c r="B97" s="37" t="s">
        <v>39</v>
      </c>
      <c r="C97" s="31">
        <f t="shared" ref="C97:E97" si="52">C32-C64</f>
        <v>0</v>
      </c>
      <c r="D97" s="31">
        <f t="shared" si="52"/>
        <v>0</v>
      </c>
      <c r="E97" s="31">
        <f t="shared" si="52"/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16">
        <f t="shared" si="47"/>
        <v>0</v>
      </c>
    </row>
    <row r="98" spans="1:15">
      <c r="B98" s="37" t="s">
        <v>40</v>
      </c>
      <c r="C98" s="31">
        <f t="shared" ref="C98:E98" si="53">C33-C65</f>
        <v>46833.916666666664</v>
      </c>
      <c r="D98" s="31">
        <f t="shared" si="53"/>
        <v>46833.916666666664</v>
      </c>
      <c r="E98" s="31">
        <f t="shared" si="53"/>
        <v>46833.916666666664</v>
      </c>
      <c r="F98" s="30"/>
      <c r="G98" s="30"/>
      <c r="H98" s="30"/>
      <c r="I98" s="30"/>
      <c r="J98" s="30"/>
      <c r="K98" s="30"/>
      <c r="L98" s="30"/>
      <c r="M98" s="30"/>
      <c r="N98" s="30"/>
      <c r="O98" s="16">
        <f t="shared" si="47"/>
        <v>140501.75</v>
      </c>
    </row>
    <row r="99" spans="1:15">
      <c r="A99" t="s">
        <v>105</v>
      </c>
      <c r="B99" s="38" t="s">
        <v>45</v>
      </c>
      <c r="C99" s="19">
        <f t="shared" ref="C99:E99" si="54">C34-C66</f>
        <v>138406.01</v>
      </c>
      <c r="D99" s="19">
        <f t="shared" si="54"/>
        <v>136229.82</v>
      </c>
      <c r="E99" s="19">
        <f t="shared" si="54"/>
        <v>137290.4</v>
      </c>
      <c r="F99" s="19"/>
      <c r="G99" s="19"/>
      <c r="H99" s="19"/>
      <c r="I99" s="19"/>
      <c r="J99" s="19"/>
      <c r="K99" s="19"/>
      <c r="L99" s="19"/>
      <c r="M99" s="19"/>
      <c r="N99" s="19"/>
      <c r="O99" s="19">
        <f t="shared" ref="O99" si="55">SUM(O92:O98)</f>
        <v>411926.23000000004</v>
      </c>
    </row>
    <row r="100" spans="1:15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18"/>
    </row>
    <row r="101" spans="1:15" ht="15.75" thickBot="1">
      <c r="B101" s="38" t="s">
        <v>45</v>
      </c>
      <c r="C101" s="35">
        <f>C36-C68</f>
        <v>-76749.756666666362</v>
      </c>
      <c r="D101" s="35">
        <f t="shared" ref="D101:E101" si="56">D36-D68</f>
        <v>173216.14333333331</v>
      </c>
      <c r="E101" s="35">
        <f t="shared" si="56"/>
        <v>-446535.43666666653</v>
      </c>
      <c r="F101" s="35"/>
      <c r="G101" s="35"/>
      <c r="H101" s="35"/>
      <c r="I101" s="35"/>
      <c r="J101" s="35"/>
      <c r="K101" s="35"/>
      <c r="L101" s="35"/>
      <c r="M101" s="35"/>
      <c r="N101" s="35"/>
      <c r="O101" s="35">
        <f t="shared" ref="O101" si="57">O99+O89+O79</f>
        <v>-350069.04999999987</v>
      </c>
    </row>
    <row r="102" spans="1:15" ht="15.75" thickTop="1">
      <c r="B102" s="9"/>
    </row>
    <row r="103" spans="1:15">
      <c r="B103" s="9"/>
    </row>
    <row r="104" spans="1:15">
      <c r="B104" s="27" t="s">
        <v>58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31.5" customHeight="1">
      <c r="B105" s="73" t="s">
        <v>67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1:15" ht="31.5" customHeight="1">
      <c r="B106" s="73" t="s">
        <v>68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</row>
    <row r="108" spans="1:15">
      <c r="B108" s="58" t="s">
        <v>60</v>
      </c>
    </row>
    <row r="109" spans="1:15">
      <c r="B109" s="74" t="s">
        <v>75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</row>
    <row r="110" spans="1:15">
      <c r="B110" s="74" t="s">
        <v>63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</row>
    <row r="111" spans="1:15" ht="30.75" customHeight="1">
      <c r="B111" s="72" t="s">
        <v>64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1:15">
      <c r="B112" s="36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</row>
  </sheetData>
  <mergeCells count="5">
    <mergeCell ref="B105:O105"/>
    <mergeCell ref="B111:O111"/>
    <mergeCell ref="B110:O110"/>
    <mergeCell ref="B109:O109"/>
    <mergeCell ref="B106:O106"/>
  </mergeCells>
  <pageMargins left="0" right="0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S25"/>
  <sheetViews>
    <sheetView topLeftCell="F1" workbookViewId="0">
      <selection activeCell="P3" sqref="P3"/>
    </sheetView>
  </sheetViews>
  <sheetFormatPr defaultRowHeight="15"/>
  <cols>
    <col min="1" max="1" width="3.42578125" bestFit="1" customWidth="1"/>
    <col min="2" max="2" width="34.85546875" customWidth="1"/>
    <col min="3" max="3" width="10.57031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</cols>
  <sheetData>
    <row r="2" spans="1:19">
      <c r="B2" s="36" t="s">
        <v>57</v>
      </c>
    </row>
    <row r="3" spans="1:19">
      <c r="C3" s="63">
        <v>2010</v>
      </c>
      <c r="D3" s="63">
        <v>2010</v>
      </c>
      <c r="E3" s="63">
        <v>2010</v>
      </c>
      <c r="F3" s="63">
        <v>2010</v>
      </c>
      <c r="G3" s="63">
        <v>2010</v>
      </c>
      <c r="H3" s="63">
        <v>2010</v>
      </c>
      <c r="I3" s="63">
        <v>2010</v>
      </c>
      <c r="J3" s="63">
        <v>2010</v>
      </c>
      <c r="K3" s="63">
        <v>2010</v>
      </c>
      <c r="L3" s="63">
        <v>2010</v>
      </c>
      <c r="M3" s="63">
        <v>2010</v>
      </c>
      <c r="N3" s="63">
        <v>2010</v>
      </c>
      <c r="O3" s="64" t="s">
        <v>31</v>
      </c>
      <c r="P3" s="65">
        <v>2010</v>
      </c>
      <c r="Q3" s="64">
        <v>2010</v>
      </c>
      <c r="R3" s="64">
        <v>2010</v>
      </c>
      <c r="S3" s="64">
        <v>2010</v>
      </c>
    </row>
    <row r="4" spans="1:19">
      <c r="C4" s="63" t="s">
        <v>0</v>
      </c>
      <c r="D4" s="63" t="s">
        <v>1</v>
      </c>
      <c r="E4" s="63" t="s">
        <v>2</v>
      </c>
      <c r="F4" s="63" t="s">
        <v>3</v>
      </c>
      <c r="G4" s="63" t="s">
        <v>4</v>
      </c>
      <c r="H4" s="63" t="s">
        <v>5</v>
      </c>
      <c r="I4" s="63" t="s">
        <v>6</v>
      </c>
      <c r="J4" s="63" t="s">
        <v>7</v>
      </c>
      <c r="K4" s="63" t="s">
        <v>8</v>
      </c>
      <c r="L4" s="63" t="s">
        <v>9</v>
      </c>
      <c r="M4" s="63" t="s">
        <v>10</v>
      </c>
      <c r="N4" s="63" t="s">
        <v>11</v>
      </c>
      <c r="O4" s="64"/>
      <c r="P4" s="65" t="s">
        <v>69</v>
      </c>
      <c r="Q4" s="64" t="s">
        <v>70</v>
      </c>
      <c r="R4" s="64" t="s">
        <v>71</v>
      </c>
      <c r="S4" s="64" t="s">
        <v>72</v>
      </c>
    </row>
    <row r="5" spans="1:19">
      <c r="A5" t="s">
        <v>22</v>
      </c>
      <c r="B5" t="s">
        <v>13</v>
      </c>
      <c r="C5" s="1">
        <v>4102936</v>
      </c>
      <c r="D5" s="1">
        <f>C17</f>
        <v>3724704.0169685027</v>
      </c>
      <c r="E5" s="1">
        <f>D17</f>
        <v>3656892.5108263446</v>
      </c>
      <c r="F5" s="1">
        <f>E17</f>
        <v>3556217.3937183325</v>
      </c>
      <c r="G5" s="1">
        <f>F17</f>
        <v>3556217.3937183325</v>
      </c>
      <c r="H5" s="1">
        <f t="shared" ref="H5:N5" si="0">G17</f>
        <v>3556217.3937183325</v>
      </c>
      <c r="I5" s="1">
        <f t="shared" si="0"/>
        <v>3556217.3937183325</v>
      </c>
      <c r="J5" s="1">
        <f t="shared" si="0"/>
        <v>3556217.3937183325</v>
      </c>
      <c r="K5" s="1">
        <f t="shared" si="0"/>
        <v>3556217.3937183325</v>
      </c>
      <c r="L5" s="1">
        <f t="shared" si="0"/>
        <v>3556217.3937183325</v>
      </c>
      <c r="M5" s="1">
        <f t="shared" si="0"/>
        <v>3556217.3937183325</v>
      </c>
      <c r="N5" s="1">
        <f t="shared" si="0"/>
        <v>3556217.3937183325</v>
      </c>
      <c r="O5" s="37"/>
      <c r="P5" s="66">
        <f>C5</f>
        <v>4102936</v>
      </c>
      <c r="Q5" s="37"/>
      <c r="R5" s="37"/>
      <c r="S5" s="37"/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7"/>
      <c r="P6" s="67"/>
      <c r="Q6" s="37"/>
      <c r="R6" s="37"/>
      <c r="S6" s="37"/>
    </row>
    <row r="7" spans="1:19">
      <c r="B7" t="s">
        <v>14</v>
      </c>
      <c r="C7" s="1">
        <v>991639.51189608139</v>
      </c>
      <c r="D7" s="1">
        <v>796149.11445157125</v>
      </c>
      <c r="E7" s="1">
        <v>657699.85357172473</v>
      </c>
      <c r="F7" s="1">
        <v>613498.63650023763</v>
      </c>
      <c r="G7" s="1">
        <v>366044.82875848998</v>
      </c>
      <c r="H7" s="1">
        <v>243587.99991483407</v>
      </c>
      <c r="I7" s="1">
        <v>203873.95228235924</v>
      </c>
      <c r="J7" s="1">
        <v>209074.28032950478</v>
      </c>
      <c r="K7" s="1">
        <v>248527.72347786638</v>
      </c>
      <c r="L7" s="1">
        <v>573004.06393222138</v>
      </c>
      <c r="M7" s="1">
        <v>971079.34887138079</v>
      </c>
      <c r="N7" s="1">
        <v>1337024.7645382294</v>
      </c>
      <c r="O7" s="43">
        <f>SUM(C7:N7)</f>
        <v>7211204.0785245011</v>
      </c>
      <c r="P7" s="68">
        <f>SUM(C7:E7)</f>
        <v>2445488.4799193772</v>
      </c>
      <c r="Q7" s="43">
        <f>SUM(F7:H7)</f>
        <v>1223131.4651735616</v>
      </c>
      <c r="R7" s="43">
        <f>SUM(I7:K7)</f>
        <v>661475.95608973037</v>
      </c>
      <c r="S7" s="43">
        <f>SUM(L7:N7)</f>
        <v>2881108.1773418318</v>
      </c>
    </row>
    <row r="8" spans="1:19">
      <c r="A8" t="s">
        <v>21</v>
      </c>
      <c r="B8" t="s">
        <v>15</v>
      </c>
      <c r="C8" s="1">
        <v>905757.43303149717</v>
      </c>
      <c r="D8" s="1">
        <v>689732.92614215822</v>
      </c>
      <c r="E8" s="1">
        <v>657732.897108012</v>
      </c>
      <c r="F8" s="1"/>
      <c r="G8" s="1"/>
      <c r="H8" s="1"/>
      <c r="I8" s="1"/>
      <c r="J8" s="1"/>
      <c r="K8" s="1"/>
      <c r="L8" s="1"/>
      <c r="M8" s="1"/>
      <c r="N8" s="1"/>
      <c r="O8" s="43">
        <f t="shared" ref="O8:O9" si="1">SUM(C8:N8)</f>
        <v>2253223.2562816674</v>
      </c>
      <c r="P8" s="68">
        <f>SUM(C8:E8)</f>
        <v>2253223.2562816674</v>
      </c>
      <c r="Q8" s="43">
        <f>SUM(F8:H8)</f>
        <v>0</v>
      </c>
      <c r="R8" s="43">
        <f>SUM(I8:K8)</f>
        <v>0</v>
      </c>
      <c r="S8" s="43">
        <f>SUM(L8:N8)</f>
        <v>0</v>
      </c>
    </row>
    <row r="9" spans="1:19">
      <c r="B9" t="s">
        <v>16</v>
      </c>
      <c r="C9" s="22">
        <f>C8-C7</f>
        <v>-85882.078864584211</v>
      </c>
      <c r="D9" s="22">
        <f>D8-D7</f>
        <v>-106416.18830941303</v>
      </c>
      <c r="E9" s="22">
        <f t="shared" ref="E9:N9" si="2">E8-E7</f>
        <v>33.043536287266761</v>
      </c>
      <c r="F9" s="22">
        <f t="shared" si="2"/>
        <v>-613498.63650023763</v>
      </c>
      <c r="G9" s="22">
        <f t="shared" si="2"/>
        <v>-366044.82875848998</v>
      </c>
      <c r="H9" s="22">
        <f t="shared" si="2"/>
        <v>-243587.99991483407</v>
      </c>
      <c r="I9" s="22">
        <f t="shared" si="2"/>
        <v>-203873.95228235924</v>
      </c>
      <c r="J9" s="22">
        <f t="shared" si="2"/>
        <v>-209074.28032950478</v>
      </c>
      <c r="K9" s="22">
        <f t="shared" si="2"/>
        <v>-248527.72347786638</v>
      </c>
      <c r="L9" s="22">
        <f t="shared" si="2"/>
        <v>-573004.06393222138</v>
      </c>
      <c r="M9" s="22">
        <f t="shared" si="2"/>
        <v>-971079.34887138079</v>
      </c>
      <c r="N9" s="22">
        <f t="shared" si="2"/>
        <v>-1337024.7645382294</v>
      </c>
      <c r="O9" s="44">
        <f t="shared" si="1"/>
        <v>-4957980.8222428337</v>
      </c>
      <c r="P9" s="69">
        <f t="shared" ref="P9:S9" si="3">P8-P7</f>
        <v>-192265.22363770986</v>
      </c>
      <c r="Q9" s="44">
        <f t="shared" si="3"/>
        <v>-1223131.4651735616</v>
      </c>
      <c r="R9" s="44">
        <f t="shared" si="3"/>
        <v>-661475.95608973037</v>
      </c>
      <c r="S9" s="44">
        <f t="shared" si="3"/>
        <v>-2881108.1773418318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7"/>
      <c r="P10" s="67"/>
      <c r="Q10" s="37"/>
      <c r="R10" s="37"/>
      <c r="S10" s="37"/>
    </row>
    <row r="11" spans="1:19">
      <c r="B11" t="s">
        <v>18</v>
      </c>
      <c r="C11" s="1">
        <f>5236202/12</f>
        <v>436350.16666666669</v>
      </c>
      <c r="D11" s="1">
        <f t="shared" ref="D11:N11" si="4">5236202/12</f>
        <v>436350.16666666669</v>
      </c>
      <c r="E11" s="1">
        <f t="shared" si="4"/>
        <v>436350.16666666669</v>
      </c>
      <c r="F11" s="1">
        <f t="shared" si="4"/>
        <v>436350.16666666669</v>
      </c>
      <c r="G11" s="1">
        <f t="shared" si="4"/>
        <v>436350.16666666669</v>
      </c>
      <c r="H11" s="1">
        <f t="shared" si="4"/>
        <v>436350.16666666669</v>
      </c>
      <c r="I11" s="1">
        <f t="shared" si="4"/>
        <v>436350.16666666669</v>
      </c>
      <c r="J11" s="1">
        <f t="shared" si="4"/>
        <v>436350.16666666669</v>
      </c>
      <c r="K11" s="1">
        <f t="shared" si="4"/>
        <v>436350.16666666669</v>
      </c>
      <c r="L11" s="1">
        <f t="shared" si="4"/>
        <v>436350.16666666669</v>
      </c>
      <c r="M11" s="1">
        <f t="shared" si="4"/>
        <v>436350.16666666669</v>
      </c>
      <c r="N11" s="1">
        <f t="shared" si="4"/>
        <v>436350.16666666669</v>
      </c>
      <c r="O11" s="43">
        <f t="shared" ref="O11:O13" si="5">SUM(C11:N11)</f>
        <v>5236202</v>
      </c>
      <c r="P11" s="68">
        <f>SUM(C11:E11)</f>
        <v>1309050.5</v>
      </c>
      <c r="Q11" s="43">
        <f>SUM(F11:H11)</f>
        <v>1309050.5</v>
      </c>
      <c r="R11" s="43">
        <f>SUM(I11:K11)</f>
        <v>1309050.5</v>
      </c>
      <c r="S11" s="43">
        <f>SUM(L11:N11)</f>
        <v>1309050.5</v>
      </c>
    </row>
    <row r="12" spans="1:19">
      <c r="A12" t="s">
        <v>20</v>
      </c>
      <c r="B12" t="s">
        <v>17</v>
      </c>
      <c r="C12" s="1">
        <f>'WA-Sch191 Budget-Act Exp '!C68</f>
        <v>527525.45000000007</v>
      </c>
      <c r="D12" s="1">
        <f>'WA-Sch191 Budget-Act Exp '!D68</f>
        <v>621921.42000000004</v>
      </c>
      <c r="E12" s="1">
        <f>'WA-Sch191 Budget-Act Exp '!E68</f>
        <v>557057.78</v>
      </c>
      <c r="F12" s="1"/>
      <c r="G12" s="1"/>
      <c r="H12" s="1"/>
      <c r="I12" s="1"/>
      <c r="J12" s="1"/>
      <c r="K12" s="1"/>
      <c r="L12" s="1"/>
      <c r="M12" s="1"/>
      <c r="N12" s="1"/>
      <c r="O12" s="43">
        <f t="shared" si="5"/>
        <v>1706504.6500000001</v>
      </c>
      <c r="P12" s="68">
        <f>SUM(C12:E12)</f>
        <v>1706504.6500000001</v>
      </c>
      <c r="Q12" s="43">
        <f>SUM(F12:H12)</f>
        <v>0</v>
      </c>
      <c r="R12" s="43">
        <f>SUM(I12:K12)</f>
        <v>0</v>
      </c>
      <c r="S12" s="43">
        <f>SUM(L12:N12)</f>
        <v>0</v>
      </c>
    </row>
    <row r="13" spans="1:19">
      <c r="B13" t="s">
        <v>19</v>
      </c>
      <c r="C13" s="23">
        <f>C11-C12</f>
        <v>-91175.283333333384</v>
      </c>
      <c r="D13" s="23">
        <f t="shared" ref="D13:N13" si="6">D11-D12</f>
        <v>-185571.25333333336</v>
      </c>
      <c r="E13" s="23">
        <f t="shared" si="6"/>
        <v>-120707.61333333334</v>
      </c>
      <c r="F13" s="23">
        <f t="shared" si="6"/>
        <v>436350.16666666669</v>
      </c>
      <c r="G13" s="23">
        <f t="shared" si="6"/>
        <v>436350.16666666669</v>
      </c>
      <c r="H13" s="23">
        <f t="shared" si="6"/>
        <v>436350.16666666669</v>
      </c>
      <c r="I13" s="23">
        <f t="shared" si="6"/>
        <v>436350.16666666669</v>
      </c>
      <c r="J13" s="23">
        <f t="shared" si="6"/>
        <v>436350.16666666669</v>
      </c>
      <c r="K13" s="23">
        <f t="shared" si="6"/>
        <v>436350.16666666669</v>
      </c>
      <c r="L13" s="23">
        <f t="shared" si="6"/>
        <v>436350.16666666669</v>
      </c>
      <c r="M13" s="23">
        <f t="shared" si="6"/>
        <v>436350.16666666669</v>
      </c>
      <c r="N13" s="23">
        <f t="shared" si="6"/>
        <v>436350.16666666669</v>
      </c>
      <c r="O13" s="44">
        <f t="shared" si="5"/>
        <v>3529697.3499999996</v>
      </c>
      <c r="P13" s="70">
        <f t="shared" ref="P13:S13" si="7">P11-P12</f>
        <v>-397454.15000000014</v>
      </c>
      <c r="Q13" s="45">
        <f t="shared" si="7"/>
        <v>1309050.5</v>
      </c>
      <c r="R13" s="45">
        <f t="shared" si="7"/>
        <v>1309050.5</v>
      </c>
      <c r="S13" s="45">
        <f t="shared" si="7"/>
        <v>1309050.5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7"/>
      <c r="P14" s="67"/>
      <c r="Q14" s="37"/>
      <c r="R14" s="37"/>
      <c r="S14" s="37"/>
    </row>
    <row r="15" spans="1:19" ht="30">
      <c r="A15" t="s">
        <v>24</v>
      </c>
      <c r="B15" s="4" t="s">
        <v>23</v>
      </c>
      <c r="C15" s="1">
        <f>C8-C12</f>
        <v>378231.9830314971</v>
      </c>
      <c r="D15" s="1">
        <f t="shared" ref="D15:S15" si="8">D8-D12</f>
        <v>67811.506142158178</v>
      </c>
      <c r="E15" s="1">
        <f t="shared" si="8"/>
        <v>100675.11710801197</v>
      </c>
      <c r="F15" s="1">
        <f t="shared" si="8"/>
        <v>0</v>
      </c>
      <c r="G15" s="1">
        <f t="shared" si="8"/>
        <v>0</v>
      </c>
      <c r="H15" s="1">
        <f t="shared" si="8"/>
        <v>0</v>
      </c>
      <c r="I15" s="1">
        <f t="shared" si="8"/>
        <v>0</v>
      </c>
      <c r="J15" s="1">
        <f t="shared" si="8"/>
        <v>0</v>
      </c>
      <c r="K15" s="1">
        <f t="shared" si="8"/>
        <v>0</v>
      </c>
      <c r="L15" s="1">
        <f t="shared" si="8"/>
        <v>0</v>
      </c>
      <c r="M15" s="1">
        <f t="shared" si="8"/>
        <v>0</v>
      </c>
      <c r="N15" s="1">
        <f t="shared" si="8"/>
        <v>0</v>
      </c>
      <c r="O15" s="41">
        <f t="shared" si="8"/>
        <v>546718.60628166725</v>
      </c>
      <c r="P15" s="71">
        <f t="shared" si="8"/>
        <v>546718.60628166725</v>
      </c>
      <c r="Q15" s="41">
        <f t="shared" si="8"/>
        <v>0</v>
      </c>
      <c r="R15" s="41">
        <f t="shared" si="8"/>
        <v>0</v>
      </c>
      <c r="S15" s="41">
        <f t="shared" si="8"/>
        <v>0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7"/>
      <c r="P16" s="67"/>
      <c r="Q16" s="37"/>
      <c r="R16" s="37"/>
      <c r="S16" s="37"/>
    </row>
    <row r="17" spans="2:19" ht="15.75" thickBot="1">
      <c r="B17" t="s">
        <v>25</v>
      </c>
      <c r="C17" s="55">
        <f>C5-C15</f>
        <v>3724704.0169685027</v>
      </c>
      <c r="D17" s="55">
        <f t="shared" ref="D17:N17" si="9">D5-D15</f>
        <v>3656892.5108263446</v>
      </c>
      <c r="E17" s="55">
        <f t="shared" si="9"/>
        <v>3556217.3937183325</v>
      </c>
      <c r="F17" s="55">
        <f t="shared" si="9"/>
        <v>3556217.3937183325</v>
      </c>
      <c r="G17" s="55">
        <f t="shared" si="9"/>
        <v>3556217.3937183325</v>
      </c>
      <c r="H17" s="55">
        <f t="shared" si="9"/>
        <v>3556217.3937183325</v>
      </c>
      <c r="I17" s="55">
        <f t="shared" si="9"/>
        <v>3556217.3937183325</v>
      </c>
      <c r="J17" s="55">
        <f t="shared" si="9"/>
        <v>3556217.3937183325</v>
      </c>
      <c r="K17" s="55">
        <f t="shared" si="9"/>
        <v>3556217.3937183325</v>
      </c>
      <c r="L17" s="55">
        <f t="shared" si="9"/>
        <v>3556217.3937183325</v>
      </c>
      <c r="M17" s="55">
        <f t="shared" si="9"/>
        <v>3556217.3937183325</v>
      </c>
      <c r="N17" s="55">
        <f t="shared" si="9"/>
        <v>3556217.3937183325</v>
      </c>
      <c r="O17" s="43"/>
      <c r="P17" s="68">
        <f t="shared" ref="P17:S17" si="10">P5-P15</f>
        <v>3556217.393718333</v>
      </c>
      <c r="Q17" s="43">
        <f t="shared" si="10"/>
        <v>0</v>
      </c>
      <c r="R17" s="43">
        <f t="shared" si="10"/>
        <v>0</v>
      </c>
      <c r="S17" s="43">
        <f t="shared" si="10"/>
        <v>0</v>
      </c>
    </row>
    <row r="18" spans="2:19" ht="15.75" thickTop="1">
      <c r="O18" s="37"/>
      <c r="P18" s="67"/>
      <c r="Q18" s="37"/>
      <c r="R18" s="37"/>
      <c r="S18" s="37"/>
    </row>
    <row r="19" spans="2:19">
      <c r="B19" t="s">
        <v>30</v>
      </c>
      <c r="E19" s="3"/>
      <c r="F19" s="3">
        <f>F5-F7+F11</f>
        <v>3379068.9238847615</v>
      </c>
      <c r="G19" s="3">
        <f t="shared" ref="G19:N19" si="11">F19-G7+G11</f>
        <v>3449374.2617929382</v>
      </c>
      <c r="H19" s="3">
        <f t="shared" si="11"/>
        <v>3642136.4285447705</v>
      </c>
      <c r="I19" s="3">
        <f t="shared" si="11"/>
        <v>3874612.6429290776</v>
      </c>
      <c r="J19" s="3">
        <f t="shared" si="11"/>
        <v>4101888.5292662391</v>
      </c>
      <c r="K19" s="3">
        <f t="shared" si="11"/>
        <v>4289710.9724550396</v>
      </c>
      <c r="L19" s="3">
        <f t="shared" si="11"/>
        <v>4153057.0751894847</v>
      </c>
      <c r="M19" s="3">
        <f t="shared" si="11"/>
        <v>3618327.8929847707</v>
      </c>
      <c r="N19" s="3">
        <f t="shared" si="11"/>
        <v>2717653.2951132078</v>
      </c>
      <c r="O19" s="37"/>
      <c r="P19" s="68">
        <f>N19</f>
        <v>2717653.2951132078</v>
      </c>
      <c r="Q19" s="37"/>
      <c r="R19" s="37"/>
      <c r="S19" s="37"/>
    </row>
    <row r="22" spans="2:19">
      <c r="B22" s="47" t="s">
        <v>26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2:19" ht="29.25" customHeight="1">
      <c r="B23" s="72" t="s">
        <v>73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2:19" ht="27.75" customHeight="1">
      <c r="B24" s="72" t="s">
        <v>74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2:19">
      <c r="B25" s="72" t="s">
        <v>77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</row>
  </sheetData>
  <mergeCells count="3">
    <mergeCell ref="B23:O23"/>
    <mergeCell ref="B24:O24"/>
    <mergeCell ref="B25:O25"/>
  </mergeCells>
  <pageMargins left="0" right="0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111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 activeCell="A2" sqref="A2"/>
    </sheetView>
  </sheetViews>
  <sheetFormatPr defaultRowHeight="15"/>
  <cols>
    <col min="1" max="1" width="10.28515625" bestFit="1" customWidth="1"/>
    <col min="2" max="2" width="43.28515625" customWidth="1"/>
    <col min="3" max="3" width="8.5703125" style="20" bestFit="1" customWidth="1"/>
    <col min="4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6" t="s">
        <v>57</v>
      </c>
    </row>
    <row r="3" spans="1:28">
      <c r="B3" s="5" t="s">
        <v>47</v>
      </c>
      <c r="C3" s="14">
        <v>2010</v>
      </c>
      <c r="D3" s="14">
        <v>2010</v>
      </c>
      <c r="E3" s="14">
        <v>2010</v>
      </c>
      <c r="F3" s="14">
        <v>2010</v>
      </c>
      <c r="G3" s="14">
        <v>2010</v>
      </c>
      <c r="H3" s="14">
        <v>2010</v>
      </c>
      <c r="I3" s="14">
        <v>2010</v>
      </c>
      <c r="J3" s="14">
        <v>2010</v>
      </c>
      <c r="K3" s="14">
        <v>2010</v>
      </c>
      <c r="L3" s="14">
        <v>2010</v>
      </c>
      <c r="M3" s="14">
        <v>2010</v>
      </c>
      <c r="N3" s="14">
        <v>2010</v>
      </c>
      <c r="O3" s="14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34" t="s">
        <v>0</v>
      </c>
      <c r="D4" s="34" t="s">
        <v>1</v>
      </c>
      <c r="E4" s="34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87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1695448/12</f>
        <v>141287.33333333334</v>
      </c>
      <c r="D7" s="20">
        <f t="shared" ref="D7:N7" si="0">1695448/12</f>
        <v>141287.33333333334</v>
      </c>
      <c r="E7" s="20">
        <f t="shared" si="0"/>
        <v>141287.33333333334</v>
      </c>
      <c r="F7" s="20">
        <f t="shared" si="0"/>
        <v>141287.33333333334</v>
      </c>
      <c r="G7" s="20">
        <f t="shared" si="0"/>
        <v>141287.33333333334</v>
      </c>
      <c r="H7" s="20">
        <f t="shared" si="0"/>
        <v>141287.33333333334</v>
      </c>
      <c r="I7" s="20">
        <f t="shared" si="0"/>
        <v>141287.33333333334</v>
      </c>
      <c r="J7" s="20">
        <f t="shared" si="0"/>
        <v>141287.33333333334</v>
      </c>
      <c r="K7" s="20">
        <f t="shared" si="0"/>
        <v>141287.33333333334</v>
      </c>
      <c r="L7" s="20">
        <f t="shared" si="0"/>
        <v>141287.33333333334</v>
      </c>
      <c r="M7" s="20">
        <f t="shared" si="0"/>
        <v>141287.33333333334</v>
      </c>
      <c r="N7" s="20">
        <f t="shared" si="0"/>
        <v>141287.33333333334</v>
      </c>
      <c r="O7" s="48">
        <f t="shared" ref="O7:O13" si="1">SUM(C7:N7)</f>
        <v>1695447.9999999998</v>
      </c>
    </row>
    <row r="8" spans="1:28">
      <c r="B8" s="5" t="s">
        <v>35</v>
      </c>
      <c r="C8" s="20">
        <f>2075623/12</f>
        <v>172968.58333333334</v>
      </c>
      <c r="D8" s="20">
        <f t="shared" ref="D8:N8" si="2">2075623/12</f>
        <v>172968.58333333334</v>
      </c>
      <c r="E8" s="20">
        <f t="shared" si="2"/>
        <v>172968.58333333334</v>
      </c>
      <c r="F8" s="18">
        <f t="shared" si="2"/>
        <v>172968.58333333334</v>
      </c>
      <c r="G8" s="18">
        <f t="shared" si="2"/>
        <v>172968.58333333334</v>
      </c>
      <c r="H8" s="18">
        <f t="shared" si="2"/>
        <v>172968.58333333334</v>
      </c>
      <c r="I8" s="18">
        <f t="shared" si="2"/>
        <v>172968.58333333334</v>
      </c>
      <c r="J8" s="18">
        <f t="shared" si="2"/>
        <v>172968.58333333334</v>
      </c>
      <c r="K8" s="18">
        <f t="shared" si="2"/>
        <v>172968.58333333334</v>
      </c>
      <c r="L8" s="18">
        <f t="shared" si="2"/>
        <v>172968.58333333334</v>
      </c>
      <c r="M8" s="18">
        <f t="shared" si="2"/>
        <v>172968.58333333334</v>
      </c>
      <c r="N8" s="18">
        <f t="shared" si="2"/>
        <v>172968.58333333334</v>
      </c>
      <c r="O8" s="48">
        <f t="shared" si="1"/>
        <v>2075622.9999999998</v>
      </c>
    </row>
    <row r="9" spans="1:28">
      <c r="B9" s="5" t="s">
        <v>36</v>
      </c>
      <c r="C9" s="20">
        <f>585544/12</f>
        <v>48795.333333333336</v>
      </c>
      <c r="D9" s="20">
        <f t="shared" ref="D9:N9" si="3">585544/12</f>
        <v>48795.333333333336</v>
      </c>
      <c r="E9" s="20">
        <f t="shared" si="3"/>
        <v>48795.333333333336</v>
      </c>
      <c r="F9" s="18">
        <f t="shared" si="3"/>
        <v>48795.333333333336</v>
      </c>
      <c r="G9" s="18">
        <f t="shared" si="3"/>
        <v>48795.333333333336</v>
      </c>
      <c r="H9" s="18">
        <f t="shared" si="3"/>
        <v>48795.333333333336</v>
      </c>
      <c r="I9" s="18">
        <f t="shared" si="3"/>
        <v>48795.333333333336</v>
      </c>
      <c r="J9" s="18">
        <f t="shared" si="3"/>
        <v>48795.333333333336</v>
      </c>
      <c r="K9" s="18">
        <f t="shared" si="3"/>
        <v>48795.333333333336</v>
      </c>
      <c r="L9" s="18">
        <f t="shared" si="3"/>
        <v>48795.333333333336</v>
      </c>
      <c r="M9" s="18">
        <f t="shared" si="3"/>
        <v>48795.333333333336</v>
      </c>
      <c r="N9" s="18">
        <f t="shared" si="3"/>
        <v>48795.333333333336</v>
      </c>
      <c r="O9" s="48">
        <f t="shared" si="1"/>
        <v>585544</v>
      </c>
    </row>
    <row r="10" spans="1:28" hidden="1">
      <c r="B10" s="5" t="s">
        <v>37</v>
      </c>
      <c r="F10" s="15"/>
      <c r="G10" s="15"/>
      <c r="H10" s="15"/>
      <c r="I10" s="15"/>
      <c r="J10" s="15"/>
      <c r="K10" s="15"/>
      <c r="L10" s="15"/>
      <c r="M10" s="15"/>
      <c r="N10" s="15"/>
      <c r="O10" s="48">
        <f t="shared" si="1"/>
        <v>0</v>
      </c>
    </row>
    <row r="11" spans="1:28" hidden="1">
      <c r="B11" s="5" t="s">
        <v>38</v>
      </c>
      <c r="F11" s="15"/>
      <c r="G11" s="15"/>
      <c r="H11" s="15"/>
      <c r="I11" s="15"/>
      <c r="J11" s="15"/>
      <c r="K11" s="15"/>
      <c r="L11" s="15"/>
      <c r="M11" s="15"/>
      <c r="N11" s="15"/>
      <c r="O11" s="48">
        <f t="shared" si="1"/>
        <v>0</v>
      </c>
    </row>
    <row r="12" spans="1:28" hidden="1">
      <c r="B12" s="5" t="s">
        <v>39</v>
      </c>
      <c r="F12" s="15"/>
      <c r="G12" s="15"/>
      <c r="H12" s="15"/>
      <c r="I12" s="15"/>
      <c r="J12" s="15"/>
      <c r="K12" s="15"/>
      <c r="L12" s="15"/>
      <c r="M12" s="15"/>
      <c r="N12" s="15"/>
      <c r="O12" s="48">
        <f t="shared" si="1"/>
        <v>0</v>
      </c>
    </row>
    <row r="13" spans="1:28" hidden="1">
      <c r="B13" s="5" t="s">
        <v>40</v>
      </c>
      <c r="F13" s="15"/>
      <c r="G13" s="15"/>
      <c r="H13" s="15"/>
      <c r="I13" s="15"/>
      <c r="J13" s="15"/>
      <c r="K13" s="15"/>
      <c r="L13" s="15"/>
      <c r="M13" s="15"/>
      <c r="N13" s="15"/>
      <c r="O13" s="48">
        <f t="shared" si="1"/>
        <v>0</v>
      </c>
    </row>
    <row r="14" spans="1:28">
      <c r="A14" t="s">
        <v>22</v>
      </c>
      <c r="B14" s="9" t="s">
        <v>41</v>
      </c>
      <c r="C14" s="19">
        <f>SUM(C7:C13)</f>
        <v>363051.25</v>
      </c>
      <c r="D14" s="19">
        <f t="shared" ref="D14:N14" si="4">SUM(D7:D13)</f>
        <v>363051.25</v>
      </c>
      <c r="E14" s="19">
        <f t="shared" si="4"/>
        <v>363051.25</v>
      </c>
      <c r="F14" s="19">
        <f t="shared" si="4"/>
        <v>363051.25</v>
      </c>
      <c r="G14" s="19">
        <f t="shared" si="4"/>
        <v>363051.25</v>
      </c>
      <c r="H14" s="19">
        <f t="shared" si="4"/>
        <v>363051.25</v>
      </c>
      <c r="I14" s="19">
        <f t="shared" si="4"/>
        <v>363051.25</v>
      </c>
      <c r="J14" s="19">
        <f t="shared" si="4"/>
        <v>363051.25</v>
      </c>
      <c r="K14" s="19">
        <f t="shared" si="4"/>
        <v>363051.25</v>
      </c>
      <c r="L14" s="19">
        <f t="shared" si="4"/>
        <v>363051.25</v>
      </c>
      <c r="M14" s="19">
        <f t="shared" si="4"/>
        <v>363051.25</v>
      </c>
      <c r="N14" s="19">
        <f t="shared" si="4"/>
        <v>363051.25</v>
      </c>
      <c r="O14" s="49">
        <f>SUM(O7:O13)</f>
        <v>4356615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48"/>
    </row>
    <row r="16" spans="1:28">
      <c r="B16" s="9" t="s">
        <v>88</v>
      </c>
      <c r="F16" s="15"/>
      <c r="G16" s="15"/>
      <c r="H16" s="15"/>
      <c r="I16" s="15"/>
      <c r="J16" s="15"/>
      <c r="K16" s="15"/>
      <c r="L16" s="15"/>
      <c r="M16" s="15"/>
      <c r="N16" s="15"/>
      <c r="O16" s="48"/>
    </row>
    <row r="17" spans="1:15">
      <c r="B17" s="5" t="s">
        <v>34</v>
      </c>
      <c r="C17" s="20">
        <f>11407/12</f>
        <v>950.58333333333337</v>
      </c>
      <c r="D17" s="20">
        <f t="shared" ref="D17:N17" si="5">11407/12</f>
        <v>950.58333333333337</v>
      </c>
      <c r="E17" s="20">
        <f t="shared" si="5"/>
        <v>950.58333333333337</v>
      </c>
      <c r="F17" s="20">
        <f t="shared" si="5"/>
        <v>950.58333333333337</v>
      </c>
      <c r="G17" s="20">
        <f t="shared" si="5"/>
        <v>950.58333333333337</v>
      </c>
      <c r="H17" s="20">
        <f t="shared" si="5"/>
        <v>950.58333333333337</v>
      </c>
      <c r="I17" s="20">
        <f t="shared" si="5"/>
        <v>950.58333333333337</v>
      </c>
      <c r="J17" s="20">
        <f t="shared" si="5"/>
        <v>950.58333333333337</v>
      </c>
      <c r="K17" s="20">
        <f t="shared" si="5"/>
        <v>950.58333333333337</v>
      </c>
      <c r="L17" s="20">
        <f t="shared" si="5"/>
        <v>950.58333333333337</v>
      </c>
      <c r="M17" s="20">
        <f t="shared" si="5"/>
        <v>950.58333333333337</v>
      </c>
      <c r="N17" s="20">
        <f t="shared" si="5"/>
        <v>950.58333333333337</v>
      </c>
      <c r="O17" s="48">
        <f t="shared" ref="O17:O23" si="6">SUM(C17:N17)</f>
        <v>11407.000000000002</v>
      </c>
    </row>
    <row r="18" spans="1:15">
      <c r="B18" s="5" t="s">
        <v>35</v>
      </c>
      <c r="C18" s="20">
        <f>92201/12</f>
        <v>7683.416666666667</v>
      </c>
      <c r="D18" s="20">
        <f t="shared" ref="D18:N18" si="7">92201/12</f>
        <v>7683.416666666667</v>
      </c>
      <c r="E18" s="20">
        <f t="shared" si="7"/>
        <v>7683.416666666667</v>
      </c>
      <c r="F18" s="18">
        <f t="shared" si="7"/>
        <v>7683.416666666667</v>
      </c>
      <c r="G18" s="18">
        <f t="shared" si="7"/>
        <v>7683.416666666667</v>
      </c>
      <c r="H18" s="18">
        <f t="shared" si="7"/>
        <v>7683.416666666667</v>
      </c>
      <c r="I18" s="18">
        <f t="shared" si="7"/>
        <v>7683.416666666667</v>
      </c>
      <c r="J18" s="18">
        <f t="shared" si="7"/>
        <v>7683.416666666667</v>
      </c>
      <c r="K18" s="18">
        <f t="shared" si="7"/>
        <v>7683.416666666667</v>
      </c>
      <c r="L18" s="18">
        <f t="shared" si="7"/>
        <v>7683.416666666667</v>
      </c>
      <c r="M18" s="18">
        <f t="shared" si="7"/>
        <v>7683.416666666667</v>
      </c>
      <c r="N18" s="18">
        <f t="shared" si="7"/>
        <v>7683.416666666667</v>
      </c>
      <c r="O18" s="48">
        <f t="shared" si="6"/>
        <v>92201.000000000015</v>
      </c>
    </row>
    <row r="19" spans="1:15" hidden="1">
      <c r="B19" s="5" t="s">
        <v>36</v>
      </c>
      <c r="O19" s="48">
        <f t="shared" si="6"/>
        <v>0</v>
      </c>
    </row>
    <row r="20" spans="1:15" hidden="1">
      <c r="B20" s="5" t="s">
        <v>37</v>
      </c>
      <c r="O20" s="48">
        <f t="shared" si="6"/>
        <v>0</v>
      </c>
    </row>
    <row r="21" spans="1:15" hidden="1">
      <c r="B21" s="5" t="s">
        <v>38</v>
      </c>
      <c r="O21" s="48">
        <f t="shared" si="6"/>
        <v>0</v>
      </c>
    </row>
    <row r="22" spans="1:15" hidden="1">
      <c r="B22" s="5" t="s">
        <v>39</v>
      </c>
      <c r="C22" s="20">
        <v>0</v>
      </c>
      <c r="D22" s="20">
        <v>0</v>
      </c>
      <c r="E22" s="20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48">
        <f t="shared" si="6"/>
        <v>0</v>
      </c>
    </row>
    <row r="23" spans="1:15">
      <c r="B23" s="5" t="s">
        <v>40</v>
      </c>
      <c r="C23" s="20">
        <f>401210/12</f>
        <v>33434.166666666664</v>
      </c>
      <c r="D23" s="20">
        <f t="shared" ref="D23:N23" si="8">401210/12</f>
        <v>33434.166666666664</v>
      </c>
      <c r="E23" s="20">
        <f t="shared" si="8"/>
        <v>33434.166666666664</v>
      </c>
      <c r="F23" s="18">
        <f t="shared" si="8"/>
        <v>33434.166666666664</v>
      </c>
      <c r="G23" s="18">
        <f t="shared" si="8"/>
        <v>33434.166666666664</v>
      </c>
      <c r="H23" s="18">
        <f t="shared" si="8"/>
        <v>33434.166666666664</v>
      </c>
      <c r="I23" s="18">
        <f t="shared" si="8"/>
        <v>33434.166666666664</v>
      </c>
      <c r="J23" s="18">
        <f t="shared" si="8"/>
        <v>33434.166666666664</v>
      </c>
      <c r="K23" s="18">
        <f t="shared" si="8"/>
        <v>33434.166666666664</v>
      </c>
      <c r="L23" s="18">
        <f t="shared" si="8"/>
        <v>33434.166666666664</v>
      </c>
      <c r="M23" s="18">
        <f t="shared" si="8"/>
        <v>33434.166666666664</v>
      </c>
      <c r="N23" s="18">
        <f t="shared" si="8"/>
        <v>33434.166666666664</v>
      </c>
      <c r="O23" s="48">
        <f t="shared" si="6"/>
        <v>401210.00000000006</v>
      </c>
    </row>
    <row r="24" spans="1:15">
      <c r="A24" t="s">
        <v>21</v>
      </c>
      <c r="B24" s="9" t="s">
        <v>49</v>
      </c>
      <c r="C24" s="19">
        <f t="shared" ref="C24:N24" si="9">SUM(C17:C23)</f>
        <v>42068.166666666664</v>
      </c>
      <c r="D24" s="19">
        <f t="shared" si="9"/>
        <v>42068.166666666664</v>
      </c>
      <c r="E24" s="19">
        <f t="shared" si="9"/>
        <v>42068.166666666664</v>
      </c>
      <c r="F24" s="19">
        <f t="shared" si="9"/>
        <v>42068.166666666664</v>
      </c>
      <c r="G24" s="19">
        <f t="shared" si="9"/>
        <v>42068.166666666664</v>
      </c>
      <c r="H24" s="19">
        <f t="shared" si="9"/>
        <v>42068.166666666664</v>
      </c>
      <c r="I24" s="19">
        <f t="shared" si="9"/>
        <v>42068.166666666664</v>
      </c>
      <c r="J24" s="19">
        <f t="shared" si="9"/>
        <v>42068.166666666664</v>
      </c>
      <c r="K24" s="19">
        <f t="shared" si="9"/>
        <v>42068.166666666664</v>
      </c>
      <c r="L24" s="19">
        <f t="shared" si="9"/>
        <v>42068.166666666664</v>
      </c>
      <c r="M24" s="19">
        <f t="shared" si="9"/>
        <v>42068.166666666664</v>
      </c>
      <c r="N24" s="19">
        <f t="shared" si="9"/>
        <v>42068.166666666664</v>
      </c>
      <c r="O24" s="49">
        <f>SUM(O17:O23)</f>
        <v>504818.00000000006</v>
      </c>
    </row>
    <row r="25" spans="1:15" ht="16.149999999999999" customHeight="1">
      <c r="B25" s="9"/>
      <c r="F25" s="15"/>
      <c r="G25" s="15"/>
      <c r="H25" s="15"/>
      <c r="I25" s="15"/>
      <c r="J25" s="15"/>
      <c r="K25" s="15"/>
      <c r="L25" s="15"/>
      <c r="M25" s="15"/>
      <c r="N25" s="15"/>
      <c r="O25" s="48"/>
    </row>
    <row r="26" spans="1:15">
      <c r="B26" s="9" t="s">
        <v>89</v>
      </c>
      <c r="F26" s="15"/>
      <c r="G26" s="15"/>
      <c r="H26" s="15"/>
      <c r="I26" s="15"/>
      <c r="J26" s="15"/>
      <c r="K26" s="15"/>
      <c r="L26" s="15"/>
      <c r="M26" s="15"/>
      <c r="N26" s="15"/>
      <c r="O26" s="48"/>
    </row>
    <row r="27" spans="1:15">
      <c r="B27" s="5" t="s">
        <v>34</v>
      </c>
      <c r="C27" s="20">
        <f>25110/12</f>
        <v>2092.5</v>
      </c>
      <c r="D27" s="20">
        <f t="shared" ref="D27:N27" si="10">25110/12</f>
        <v>2092.5</v>
      </c>
      <c r="E27" s="20">
        <f t="shared" si="10"/>
        <v>2092.5</v>
      </c>
      <c r="F27" s="20">
        <f t="shared" si="10"/>
        <v>2092.5</v>
      </c>
      <c r="G27" s="20">
        <f t="shared" si="10"/>
        <v>2092.5</v>
      </c>
      <c r="H27" s="20">
        <f t="shared" si="10"/>
        <v>2092.5</v>
      </c>
      <c r="I27" s="20">
        <f t="shared" si="10"/>
        <v>2092.5</v>
      </c>
      <c r="J27" s="20">
        <f t="shared" si="10"/>
        <v>2092.5</v>
      </c>
      <c r="K27" s="20">
        <f t="shared" si="10"/>
        <v>2092.5</v>
      </c>
      <c r="L27" s="20">
        <f t="shared" si="10"/>
        <v>2092.5</v>
      </c>
      <c r="M27" s="20">
        <f t="shared" si="10"/>
        <v>2092.5</v>
      </c>
      <c r="N27" s="20">
        <f t="shared" si="10"/>
        <v>2092.5</v>
      </c>
      <c r="O27" s="48">
        <f t="shared" ref="O27:O33" si="11">SUM(C27:N27)</f>
        <v>25110</v>
      </c>
    </row>
    <row r="28" spans="1:15">
      <c r="B28" s="5" t="s">
        <v>35</v>
      </c>
      <c r="C28" s="20">
        <f>11551/12</f>
        <v>962.58333333333337</v>
      </c>
      <c r="D28" s="20">
        <f t="shared" ref="D28:N28" si="12">11551/12</f>
        <v>962.58333333333337</v>
      </c>
      <c r="E28" s="20">
        <f t="shared" si="12"/>
        <v>962.58333333333337</v>
      </c>
      <c r="F28" s="18">
        <f t="shared" si="12"/>
        <v>962.58333333333337</v>
      </c>
      <c r="G28" s="18">
        <f t="shared" si="12"/>
        <v>962.58333333333337</v>
      </c>
      <c r="H28" s="18">
        <f t="shared" si="12"/>
        <v>962.58333333333337</v>
      </c>
      <c r="I28" s="18">
        <f t="shared" si="12"/>
        <v>962.58333333333337</v>
      </c>
      <c r="J28" s="18">
        <f t="shared" si="12"/>
        <v>962.58333333333337</v>
      </c>
      <c r="K28" s="18">
        <f t="shared" si="12"/>
        <v>962.58333333333337</v>
      </c>
      <c r="L28" s="18">
        <f t="shared" si="12"/>
        <v>962.58333333333337</v>
      </c>
      <c r="M28" s="18">
        <f t="shared" si="12"/>
        <v>962.58333333333337</v>
      </c>
      <c r="N28" s="18">
        <f t="shared" si="12"/>
        <v>962.58333333333337</v>
      </c>
      <c r="O28" s="48">
        <f t="shared" si="11"/>
        <v>11551.000000000002</v>
      </c>
    </row>
    <row r="29" spans="1:15">
      <c r="B29" s="5" t="s">
        <v>36</v>
      </c>
      <c r="C29" s="20">
        <f>2157/12</f>
        <v>179.75</v>
      </c>
      <c r="D29" s="20">
        <f t="shared" ref="D29:N29" si="13">2157/12</f>
        <v>179.75</v>
      </c>
      <c r="E29" s="20">
        <f t="shared" si="13"/>
        <v>179.75</v>
      </c>
      <c r="F29" s="18">
        <f t="shared" si="13"/>
        <v>179.75</v>
      </c>
      <c r="G29" s="18">
        <f t="shared" si="13"/>
        <v>179.75</v>
      </c>
      <c r="H29" s="18">
        <f t="shared" si="13"/>
        <v>179.75</v>
      </c>
      <c r="I29" s="18">
        <f t="shared" si="13"/>
        <v>179.75</v>
      </c>
      <c r="J29" s="18">
        <f t="shared" si="13"/>
        <v>179.75</v>
      </c>
      <c r="K29" s="18">
        <f t="shared" si="13"/>
        <v>179.75</v>
      </c>
      <c r="L29" s="18">
        <f t="shared" si="13"/>
        <v>179.75</v>
      </c>
      <c r="M29" s="18">
        <f t="shared" si="13"/>
        <v>179.75</v>
      </c>
      <c r="N29" s="18">
        <f t="shared" si="13"/>
        <v>179.75</v>
      </c>
      <c r="O29" s="48">
        <f t="shared" si="11"/>
        <v>2157</v>
      </c>
    </row>
    <row r="30" spans="1:15" hidden="1">
      <c r="B30" s="5" t="s">
        <v>37</v>
      </c>
      <c r="O30" s="48">
        <f t="shared" si="11"/>
        <v>0</v>
      </c>
    </row>
    <row r="31" spans="1:15" hidden="1">
      <c r="B31" s="5" t="s">
        <v>38</v>
      </c>
      <c r="O31" s="48">
        <f t="shared" si="11"/>
        <v>0</v>
      </c>
    </row>
    <row r="32" spans="1:15" hidden="1">
      <c r="B32" s="5" t="s">
        <v>39</v>
      </c>
      <c r="O32" s="48">
        <f t="shared" si="11"/>
        <v>0</v>
      </c>
    </row>
    <row r="33" spans="1:29">
      <c r="B33" s="5" t="s">
        <v>40</v>
      </c>
      <c r="C33" s="20">
        <f>335952/12</f>
        <v>27996</v>
      </c>
      <c r="D33" s="20">
        <f t="shared" ref="D33:N33" si="14">335952/12</f>
        <v>27996</v>
      </c>
      <c r="E33" s="20">
        <f t="shared" si="14"/>
        <v>27996</v>
      </c>
      <c r="F33" s="18">
        <f t="shared" si="14"/>
        <v>27996</v>
      </c>
      <c r="G33" s="18">
        <f t="shared" si="14"/>
        <v>27996</v>
      </c>
      <c r="H33" s="18">
        <f t="shared" si="14"/>
        <v>27996</v>
      </c>
      <c r="I33" s="18">
        <f t="shared" si="14"/>
        <v>27996</v>
      </c>
      <c r="J33" s="18">
        <f t="shared" si="14"/>
        <v>27996</v>
      </c>
      <c r="K33" s="18">
        <f t="shared" si="14"/>
        <v>27996</v>
      </c>
      <c r="L33" s="18">
        <f t="shared" si="14"/>
        <v>27996</v>
      </c>
      <c r="M33" s="18">
        <f t="shared" si="14"/>
        <v>27996</v>
      </c>
      <c r="N33" s="18">
        <f t="shared" si="14"/>
        <v>27996</v>
      </c>
      <c r="O33" s="48">
        <f t="shared" si="11"/>
        <v>335952</v>
      </c>
    </row>
    <row r="34" spans="1:29">
      <c r="A34" t="s">
        <v>20</v>
      </c>
      <c r="B34" s="9" t="s">
        <v>48</v>
      </c>
      <c r="C34" s="19">
        <f t="shared" ref="C34:O34" si="15">SUM(C27:C33)</f>
        <v>31230.833333333332</v>
      </c>
      <c r="D34" s="19">
        <f t="shared" si="15"/>
        <v>31230.833333333332</v>
      </c>
      <c r="E34" s="19">
        <f t="shared" si="15"/>
        <v>31230.833333333332</v>
      </c>
      <c r="F34" s="19">
        <f t="shared" si="15"/>
        <v>31230.833333333332</v>
      </c>
      <c r="G34" s="19">
        <f t="shared" si="15"/>
        <v>31230.833333333332</v>
      </c>
      <c r="H34" s="19">
        <f t="shared" si="15"/>
        <v>31230.833333333332</v>
      </c>
      <c r="I34" s="19">
        <f t="shared" si="15"/>
        <v>31230.833333333332</v>
      </c>
      <c r="J34" s="19">
        <f t="shared" si="15"/>
        <v>31230.833333333332</v>
      </c>
      <c r="K34" s="19">
        <f t="shared" si="15"/>
        <v>31230.833333333332</v>
      </c>
      <c r="L34" s="19">
        <f t="shared" si="15"/>
        <v>31230.833333333332</v>
      </c>
      <c r="M34" s="19">
        <f t="shared" si="15"/>
        <v>31230.833333333332</v>
      </c>
      <c r="N34" s="19">
        <f t="shared" si="15"/>
        <v>31230.833333333332</v>
      </c>
      <c r="O34" s="49">
        <f t="shared" si="15"/>
        <v>374770</v>
      </c>
    </row>
    <row r="35" spans="1:29">
      <c r="B35" s="9"/>
      <c r="O35" s="50"/>
    </row>
    <row r="36" spans="1:29" ht="15.75" thickBot="1">
      <c r="A36" t="s">
        <v>99</v>
      </c>
      <c r="B36" s="9" t="s">
        <v>90</v>
      </c>
      <c r="C36" s="35">
        <f>C34+C24+C14</f>
        <v>436350.25</v>
      </c>
      <c r="D36" s="35">
        <f t="shared" ref="D36:O36" si="16">D34+D24+D14</f>
        <v>436350.25</v>
      </c>
      <c r="E36" s="35">
        <f t="shared" si="16"/>
        <v>436350.25</v>
      </c>
      <c r="F36" s="21">
        <f t="shared" si="16"/>
        <v>436350.25</v>
      </c>
      <c r="G36" s="21">
        <f t="shared" si="16"/>
        <v>436350.25</v>
      </c>
      <c r="H36" s="21">
        <f t="shared" si="16"/>
        <v>436350.25</v>
      </c>
      <c r="I36" s="21">
        <f t="shared" si="16"/>
        <v>436350.25</v>
      </c>
      <c r="J36" s="21">
        <f t="shared" si="16"/>
        <v>436350.25</v>
      </c>
      <c r="K36" s="21">
        <f t="shared" si="16"/>
        <v>436350.25</v>
      </c>
      <c r="L36" s="21">
        <f t="shared" si="16"/>
        <v>436350.25</v>
      </c>
      <c r="M36" s="21">
        <f t="shared" si="16"/>
        <v>436350.25</v>
      </c>
      <c r="N36" s="21">
        <f t="shared" si="16"/>
        <v>436350.25</v>
      </c>
      <c r="O36" s="51">
        <f t="shared" si="16"/>
        <v>5236203</v>
      </c>
    </row>
    <row r="37" spans="1:29" ht="15.75" thickTop="1">
      <c r="B37" s="9"/>
      <c r="O37" s="50"/>
    </row>
    <row r="38" spans="1:29">
      <c r="B38" s="25" t="s">
        <v>91</v>
      </c>
      <c r="F38" s="18"/>
      <c r="G38" s="18"/>
      <c r="H38" s="18"/>
      <c r="I38" s="18"/>
      <c r="J38" s="18"/>
      <c r="K38" s="18"/>
      <c r="L38" s="18"/>
      <c r="M38" s="18"/>
      <c r="N38" s="18"/>
      <c r="O38" s="52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26" t="s">
        <v>34</v>
      </c>
      <c r="C39" s="20">
        <v>172930</v>
      </c>
      <c r="D39" s="20">
        <v>243798.5</v>
      </c>
      <c r="E39" s="20">
        <v>226483</v>
      </c>
      <c r="F39" s="18"/>
      <c r="G39" s="18"/>
      <c r="H39" s="18"/>
      <c r="I39" s="18"/>
      <c r="J39" s="18"/>
      <c r="K39" s="18"/>
      <c r="L39" s="18"/>
      <c r="M39" s="18"/>
      <c r="N39" s="18"/>
      <c r="O39" s="48">
        <f t="shared" ref="O39:O45" si="17">SUM(C39:N39)</f>
        <v>643211.5</v>
      </c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26" t="s">
        <v>35</v>
      </c>
      <c r="C40" s="20">
        <v>243701.01</v>
      </c>
      <c r="D40" s="20">
        <v>284971.88</v>
      </c>
      <c r="E40" s="20">
        <v>164933.26</v>
      </c>
      <c r="F40" s="18"/>
      <c r="G40" s="18"/>
      <c r="H40" s="18"/>
      <c r="I40" s="18"/>
      <c r="J40" s="18"/>
      <c r="K40" s="18"/>
      <c r="L40" s="18"/>
      <c r="M40" s="18"/>
      <c r="N40" s="18"/>
      <c r="O40" s="48">
        <f t="shared" si="17"/>
        <v>693606.15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26" t="s">
        <v>36</v>
      </c>
      <c r="C41" s="20">
        <v>18244.34</v>
      </c>
      <c r="D41" s="20">
        <v>3312.66</v>
      </c>
      <c r="E41" s="20">
        <v>80052.160000000003</v>
      </c>
      <c r="F41" s="18"/>
      <c r="G41" s="18"/>
      <c r="H41" s="18"/>
      <c r="I41" s="18"/>
      <c r="J41" s="18"/>
      <c r="K41" s="18"/>
      <c r="L41" s="18"/>
      <c r="M41" s="18"/>
      <c r="N41" s="18"/>
      <c r="O41" s="48">
        <f t="shared" si="17"/>
        <v>101609.16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hidden="1">
      <c r="B42" s="26" t="s">
        <v>37</v>
      </c>
      <c r="F42" s="18"/>
      <c r="G42" s="18"/>
      <c r="H42" s="18"/>
      <c r="I42" s="18"/>
      <c r="J42" s="18"/>
      <c r="K42" s="18"/>
      <c r="L42" s="18"/>
      <c r="M42" s="18"/>
      <c r="N42" s="18"/>
      <c r="O42" s="48">
        <f t="shared" si="17"/>
        <v>0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26" t="s">
        <v>38</v>
      </c>
      <c r="F43" s="18"/>
      <c r="G43" s="18"/>
      <c r="H43" s="18"/>
      <c r="I43" s="18"/>
      <c r="J43" s="18"/>
      <c r="K43" s="18"/>
      <c r="L43" s="18"/>
      <c r="M43" s="18"/>
      <c r="N43" s="18"/>
      <c r="O43" s="48">
        <f t="shared" si="17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26" t="s">
        <v>39</v>
      </c>
      <c r="F44" s="18"/>
      <c r="G44" s="18"/>
      <c r="H44" s="18"/>
      <c r="I44" s="18"/>
      <c r="J44" s="18"/>
      <c r="K44" s="18"/>
      <c r="L44" s="18"/>
      <c r="M44" s="18"/>
      <c r="N44" s="18"/>
      <c r="O44" s="48">
        <f t="shared" si="17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hidden="1">
      <c r="B45" s="26" t="s">
        <v>40</v>
      </c>
      <c r="F45" s="18"/>
      <c r="G45" s="18"/>
      <c r="H45" s="18"/>
      <c r="I45" s="18"/>
      <c r="J45" s="18"/>
      <c r="K45" s="18"/>
      <c r="L45" s="18"/>
      <c r="M45" s="18"/>
      <c r="N45" s="18"/>
      <c r="O45" s="48">
        <f t="shared" si="17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A46" t="s">
        <v>24</v>
      </c>
      <c r="B46" s="25" t="s">
        <v>42</v>
      </c>
      <c r="C46" s="19">
        <f>SUM(C39:C45)</f>
        <v>434875.35000000003</v>
      </c>
      <c r="D46" s="19">
        <f t="shared" ref="D46:N46" si="18">SUM(D39:D45)</f>
        <v>532083.04</v>
      </c>
      <c r="E46" s="19">
        <f t="shared" si="18"/>
        <v>471468.42000000004</v>
      </c>
      <c r="F46" s="19">
        <f t="shared" si="18"/>
        <v>0</v>
      </c>
      <c r="G46" s="19">
        <f t="shared" si="18"/>
        <v>0</v>
      </c>
      <c r="H46" s="19">
        <f t="shared" si="18"/>
        <v>0</v>
      </c>
      <c r="I46" s="19">
        <f t="shared" si="18"/>
        <v>0</v>
      </c>
      <c r="J46" s="19">
        <f t="shared" si="18"/>
        <v>0</v>
      </c>
      <c r="K46" s="19">
        <f t="shared" si="18"/>
        <v>0</v>
      </c>
      <c r="L46" s="19">
        <f t="shared" si="18"/>
        <v>0</v>
      </c>
      <c r="M46" s="19">
        <f t="shared" si="18"/>
        <v>0</v>
      </c>
      <c r="N46" s="19">
        <f t="shared" si="18"/>
        <v>0</v>
      </c>
      <c r="O46" s="49">
        <f>SUM(O39:O45)</f>
        <v>1438426.8099999998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25"/>
      <c r="F47" s="18"/>
      <c r="G47" s="18"/>
      <c r="H47" s="18"/>
      <c r="I47" s="18"/>
      <c r="J47" s="18"/>
      <c r="K47" s="18"/>
      <c r="L47" s="18"/>
      <c r="M47" s="18"/>
      <c r="N47" s="18"/>
      <c r="O47" s="52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B48" s="25" t="s">
        <v>92</v>
      </c>
      <c r="F48" s="18"/>
      <c r="G48" s="18"/>
      <c r="H48" s="18"/>
      <c r="I48" s="18"/>
      <c r="J48" s="18"/>
      <c r="K48" s="18"/>
      <c r="L48" s="18"/>
      <c r="M48" s="18"/>
      <c r="N48" s="18"/>
      <c r="O48" s="52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26" t="s">
        <v>34</v>
      </c>
      <c r="C49" s="20">
        <v>10547.95</v>
      </c>
      <c r="D49" s="20">
        <v>4474.2299999999996</v>
      </c>
      <c r="E49" s="20">
        <v>4682.05</v>
      </c>
      <c r="F49" s="18"/>
      <c r="G49" s="18"/>
      <c r="H49" s="18"/>
      <c r="I49" s="18"/>
      <c r="J49" s="18"/>
      <c r="K49" s="18"/>
      <c r="L49" s="18"/>
      <c r="M49" s="18"/>
      <c r="N49" s="18"/>
      <c r="O49" s="48">
        <f t="shared" ref="O49:O55" si="19">SUM(C49:N49)</f>
        <v>19704.23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>
      <c r="B50" s="26" t="s">
        <v>35</v>
      </c>
      <c r="C50" s="20">
        <v>18380.28</v>
      </c>
      <c r="D50" s="20">
        <v>20216.05</v>
      </c>
      <c r="E50" s="20">
        <v>11137.52</v>
      </c>
      <c r="F50" s="18"/>
      <c r="G50" s="18"/>
      <c r="H50" s="18"/>
      <c r="I50" s="18"/>
      <c r="J50" s="18"/>
      <c r="K50" s="18"/>
      <c r="L50" s="18"/>
      <c r="M50" s="18"/>
      <c r="N50" s="18"/>
      <c r="O50" s="48">
        <f t="shared" si="19"/>
        <v>49733.850000000006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>
      <c r="B51" s="26" t="s">
        <v>36</v>
      </c>
      <c r="C51" s="20">
        <v>5810.97</v>
      </c>
      <c r="D51" s="20">
        <v>1987.46</v>
      </c>
      <c r="E51" s="20">
        <v>1939.32</v>
      </c>
      <c r="F51" s="18"/>
      <c r="G51" s="18"/>
      <c r="H51" s="18"/>
      <c r="I51" s="18"/>
      <c r="J51" s="18"/>
      <c r="K51" s="18"/>
      <c r="L51" s="18"/>
      <c r="M51" s="18"/>
      <c r="N51" s="18"/>
      <c r="O51" s="48">
        <f t="shared" si="19"/>
        <v>9737.75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 hidden="1">
      <c r="B52" s="26" t="s">
        <v>37</v>
      </c>
      <c r="F52" s="18"/>
      <c r="G52" s="18"/>
      <c r="H52" s="18"/>
      <c r="I52" s="18"/>
      <c r="J52" s="18"/>
      <c r="K52" s="18"/>
      <c r="L52" s="18"/>
      <c r="M52" s="18"/>
      <c r="N52" s="18"/>
      <c r="O52" s="48">
        <f t="shared" si="19"/>
        <v>0</v>
      </c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hidden="1">
      <c r="B53" s="26" t="s">
        <v>38</v>
      </c>
      <c r="F53" s="18"/>
      <c r="G53" s="18"/>
      <c r="H53" s="18"/>
      <c r="I53" s="18"/>
      <c r="J53" s="18"/>
      <c r="K53" s="18"/>
      <c r="L53" s="18"/>
      <c r="M53" s="18"/>
      <c r="N53" s="18"/>
      <c r="O53" s="48">
        <f t="shared" si="19"/>
        <v>0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26" t="s">
        <v>39</v>
      </c>
      <c r="F54" s="18"/>
      <c r="G54" s="18"/>
      <c r="H54" s="18"/>
      <c r="I54" s="18"/>
      <c r="J54" s="18"/>
      <c r="K54" s="18"/>
      <c r="L54" s="18"/>
      <c r="M54" s="18"/>
      <c r="N54" s="18"/>
      <c r="O54" s="48">
        <f t="shared" si="19"/>
        <v>0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26" t="s">
        <v>40</v>
      </c>
      <c r="C55" s="20">
        <v>53847.85</v>
      </c>
      <c r="D55" s="20">
        <v>57592.11</v>
      </c>
      <c r="E55" s="20">
        <v>63546.44</v>
      </c>
      <c r="F55" s="18"/>
      <c r="G55" s="18"/>
      <c r="H55" s="18"/>
      <c r="I55" s="18"/>
      <c r="J55" s="18"/>
      <c r="K55" s="18"/>
      <c r="L55" s="18"/>
      <c r="M55" s="18"/>
      <c r="N55" s="18"/>
      <c r="O55" s="48">
        <f t="shared" si="19"/>
        <v>174986.4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A56" t="s">
        <v>100</v>
      </c>
      <c r="B56" s="25" t="s">
        <v>93</v>
      </c>
      <c r="C56" s="19">
        <f t="shared" ref="C56:N56" si="20">SUM(C49:C55)</f>
        <v>88587.049999999988</v>
      </c>
      <c r="D56" s="19">
        <f t="shared" si="20"/>
        <v>84269.85</v>
      </c>
      <c r="E56" s="19">
        <f t="shared" si="20"/>
        <v>81305.33</v>
      </c>
      <c r="F56" s="19">
        <f t="shared" si="20"/>
        <v>0</v>
      </c>
      <c r="G56" s="19">
        <f t="shared" si="20"/>
        <v>0</v>
      </c>
      <c r="H56" s="19">
        <f t="shared" si="20"/>
        <v>0</v>
      </c>
      <c r="I56" s="19">
        <f t="shared" si="20"/>
        <v>0</v>
      </c>
      <c r="J56" s="19">
        <f t="shared" si="20"/>
        <v>0</v>
      </c>
      <c r="K56" s="19">
        <f t="shared" si="20"/>
        <v>0</v>
      </c>
      <c r="L56" s="19">
        <f t="shared" si="20"/>
        <v>0</v>
      </c>
      <c r="M56" s="19">
        <f t="shared" si="20"/>
        <v>0</v>
      </c>
      <c r="N56" s="19">
        <f t="shared" si="20"/>
        <v>0</v>
      </c>
      <c r="O56" s="49">
        <f>SUM(O49:O55)</f>
        <v>254162.22999999998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>
      <c r="B57" s="25"/>
      <c r="F57" s="18"/>
      <c r="G57" s="18"/>
      <c r="H57" s="18"/>
      <c r="I57" s="18"/>
      <c r="J57" s="18"/>
      <c r="K57" s="18"/>
      <c r="L57" s="18"/>
      <c r="M57" s="18"/>
      <c r="N57" s="18"/>
      <c r="O57" s="52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>
      <c r="B58" s="25" t="s">
        <v>94</v>
      </c>
      <c r="F58" s="18"/>
      <c r="G58" s="18"/>
      <c r="H58" s="18"/>
      <c r="I58" s="18"/>
      <c r="J58" s="18"/>
      <c r="K58" s="18"/>
      <c r="L58" s="18"/>
      <c r="M58" s="18"/>
      <c r="N58" s="18"/>
      <c r="O58" s="52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>
      <c r="B59" s="26" t="s">
        <v>34</v>
      </c>
      <c r="C59" s="20">
        <v>4063.05</v>
      </c>
      <c r="D59" s="20">
        <v>5568.53</v>
      </c>
      <c r="E59" s="20">
        <v>4284.03</v>
      </c>
      <c r="F59" s="18"/>
      <c r="G59" s="18"/>
      <c r="H59" s="18"/>
      <c r="I59" s="18"/>
      <c r="J59" s="18"/>
      <c r="K59" s="18"/>
      <c r="L59" s="18"/>
      <c r="M59" s="18"/>
      <c r="N59" s="18"/>
      <c r="O59" s="48">
        <f t="shared" ref="O59:O65" si="21">SUM(C59:N59)</f>
        <v>13915.61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>
      <c r="B60" s="26" t="s">
        <v>35</v>
      </c>
      <c r="F60" s="18"/>
      <c r="G60" s="18"/>
      <c r="H60" s="18"/>
      <c r="I60" s="18"/>
      <c r="J60" s="18"/>
      <c r="K60" s="18"/>
      <c r="L60" s="18"/>
      <c r="M60" s="18"/>
      <c r="N60" s="18"/>
      <c r="O60" s="48">
        <f t="shared" si="21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B61" s="26" t="s">
        <v>36</v>
      </c>
      <c r="F61" s="18"/>
      <c r="G61" s="18"/>
      <c r="H61" s="18"/>
      <c r="I61" s="18"/>
      <c r="J61" s="18"/>
      <c r="K61" s="18"/>
      <c r="L61" s="18"/>
      <c r="M61" s="18"/>
      <c r="N61" s="18"/>
      <c r="O61" s="48">
        <f t="shared" si="21"/>
        <v>0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26" t="s">
        <v>37</v>
      </c>
      <c r="F62" s="18"/>
      <c r="G62" s="18"/>
      <c r="H62" s="18"/>
      <c r="I62" s="18"/>
      <c r="J62" s="18"/>
      <c r="K62" s="18"/>
      <c r="L62" s="18"/>
      <c r="M62" s="18"/>
      <c r="N62" s="18"/>
      <c r="O62" s="48">
        <f t="shared" si="21"/>
        <v>0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26" t="s">
        <v>38</v>
      </c>
      <c r="F63" s="18"/>
      <c r="G63" s="18"/>
      <c r="H63" s="18"/>
      <c r="I63" s="18"/>
      <c r="J63" s="18"/>
      <c r="K63" s="18"/>
      <c r="L63" s="18"/>
      <c r="M63" s="18"/>
      <c r="N63" s="18"/>
      <c r="O63" s="48">
        <f t="shared" si="21"/>
        <v>0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26" t="s">
        <v>39</v>
      </c>
      <c r="F64" s="18"/>
      <c r="G64" s="18"/>
      <c r="H64" s="18"/>
      <c r="I64" s="18"/>
      <c r="J64" s="18"/>
      <c r="K64" s="18"/>
      <c r="L64" s="18"/>
      <c r="M64" s="18"/>
      <c r="N64" s="18"/>
      <c r="O64" s="48">
        <f t="shared" si="21"/>
        <v>0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26" t="s">
        <v>40</v>
      </c>
      <c r="F65" s="18"/>
      <c r="G65" s="18"/>
      <c r="H65" s="18"/>
      <c r="I65" s="18"/>
      <c r="J65" s="18"/>
      <c r="K65" s="18"/>
      <c r="L65" s="18"/>
      <c r="M65" s="18"/>
      <c r="N65" s="18"/>
      <c r="O65" s="48">
        <f t="shared" si="21"/>
        <v>0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A66" t="s">
        <v>101</v>
      </c>
      <c r="B66" s="25" t="s">
        <v>43</v>
      </c>
      <c r="C66" s="19">
        <f t="shared" ref="C66:O66" si="22">SUM(C59:C65)</f>
        <v>4063.05</v>
      </c>
      <c r="D66" s="19">
        <f t="shared" si="22"/>
        <v>5568.53</v>
      </c>
      <c r="E66" s="19">
        <f t="shared" si="22"/>
        <v>4284.03</v>
      </c>
      <c r="F66" s="19">
        <f t="shared" si="22"/>
        <v>0</v>
      </c>
      <c r="G66" s="19">
        <f t="shared" si="22"/>
        <v>0</v>
      </c>
      <c r="H66" s="19">
        <f t="shared" si="22"/>
        <v>0</v>
      </c>
      <c r="I66" s="19">
        <f t="shared" si="22"/>
        <v>0</v>
      </c>
      <c r="J66" s="19">
        <f t="shared" si="22"/>
        <v>0</v>
      </c>
      <c r="K66" s="19">
        <f t="shared" si="22"/>
        <v>0</v>
      </c>
      <c r="L66" s="19">
        <f t="shared" si="22"/>
        <v>0</v>
      </c>
      <c r="M66" s="19">
        <f t="shared" si="22"/>
        <v>0</v>
      </c>
      <c r="N66" s="19">
        <f t="shared" si="22"/>
        <v>0</v>
      </c>
      <c r="O66" s="49">
        <f t="shared" si="22"/>
        <v>13915.61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>
      <c r="B67" s="25"/>
      <c r="F67" s="18"/>
      <c r="G67" s="18"/>
      <c r="H67" s="18"/>
      <c r="I67" s="18"/>
      <c r="J67" s="18"/>
      <c r="K67" s="18"/>
      <c r="L67" s="18"/>
      <c r="M67" s="18"/>
      <c r="N67" s="18"/>
      <c r="O67" s="52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t="15.75" thickBot="1">
      <c r="A68" t="s">
        <v>102</v>
      </c>
      <c r="B68" s="25" t="s">
        <v>95</v>
      </c>
      <c r="C68" s="35">
        <f>C66+C56+C46</f>
        <v>527525.45000000007</v>
      </c>
      <c r="D68" s="35">
        <f t="shared" ref="D68:O68" si="23">D66+D56+D46</f>
        <v>621921.42000000004</v>
      </c>
      <c r="E68" s="35">
        <f t="shared" si="23"/>
        <v>557057.78</v>
      </c>
      <c r="F68" s="21">
        <f t="shared" si="23"/>
        <v>0</v>
      </c>
      <c r="G68" s="21">
        <f t="shared" si="23"/>
        <v>0</v>
      </c>
      <c r="H68" s="21">
        <f t="shared" si="23"/>
        <v>0</v>
      </c>
      <c r="I68" s="21">
        <f t="shared" si="23"/>
        <v>0</v>
      </c>
      <c r="J68" s="21">
        <f t="shared" si="23"/>
        <v>0</v>
      </c>
      <c r="K68" s="21">
        <f t="shared" si="23"/>
        <v>0</v>
      </c>
      <c r="L68" s="21">
        <f t="shared" si="23"/>
        <v>0</v>
      </c>
      <c r="M68" s="21">
        <f t="shared" si="23"/>
        <v>0</v>
      </c>
      <c r="N68" s="21">
        <f t="shared" si="23"/>
        <v>0</v>
      </c>
      <c r="O68" s="51">
        <f t="shared" si="23"/>
        <v>1706504.65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 ht="15.75" thickTop="1">
      <c r="B69" s="27"/>
      <c r="F69" s="18"/>
      <c r="G69" s="18"/>
      <c r="H69" s="18"/>
      <c r="I69" s="18"/>
      <c r="J69" s="18"/>
      <c r="K69" s="18"/>
      <c r="L69" s="18"/>
      <c r="M69" s="18"/>
      <c r="N69" s="18"/>
      <c r="O69" s="52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28" t="s">
        <v>44</v>
      </c>
      <c r="F70" s="18"/>
      <c r="G70" s="18"/>
      <c r="H70" s="18"/>
      <c r="I70" s="18"/>
      <c r="J70" s="18"/>
      <c r="K70" s="18"/>
      <c r="L70" s="18"/>
      <c r="M70" s="18"/>
      <c r="N70" s="18"/>
      <c r="O70" s="52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28" t="s">
        <v>96</v>
      </c>
      <c r="F71" s="18"/>
      <c r="G71" s="18"/>
      <c r="H71" s="18"/>
      <c r="I71" s="18"/>
      <c r="J71" s="18"/>
      <c r="K71" s="18"/>
      <c r="L71" s="18"/>
      <c r="M71" s="18"/>
      <c r="N71" s="18"/>
      <c r="O71" s="52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B72" s="29" t="s">
        <v>34</v>
      </c>
      <c r="C72" s="20">
        <f>C7-C39</f>
        <v>-31642.666666666657</v>
      </c>
      <c r="D72" s="20">
        <f t="shared" ref="D72:E72" si="24">D7-D39</f>
        <v>-102511.16666666666</v>
      </c>
      <c r="E72" s="20">
        <f t="shared" si="24"/>
        <v>-85195.666666666657</v>
      </c>
      <c r="F72" s="31"/>
      <c r="G72" s="31"/>
      <c r="H72" s="31"/>
      <c r="I72" s="31"/>
      <c r="J72" s="31"/>
      <c r="K72" s="31"/>
      <c r="L72" s="31"/>
      <c r="M72" s="31"/>
      <c r="N72" s="31"/>
      <c r="O72" s="48">
        <f t="shared" ref="O72:O78" si="25">SUM(C72:N72)</f>
        <v>-219349.49999999997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29" t="s">
        <v>35</v>
      </c>
      <c r="C73" s="20">
        <f t="shared" ref="C73:E79" si="26">C8-C40</f>
        <v>-70732.426666666666</v>
      </c>
      <c r="D73" s="20">
        <f t="shared" si="26"/>
        <v>-112003.29666666666</v>
      </c>
      <c r="E73" s="20">
        <f t="shared" si="26"/>
        <v>8035.3233333333337</v>
      </c>
      <c r="F73" s="31"/>
      <c r="G73" s="31"/>
      <c r="H73" s="31"/>
      <c r="I73" s="31"/>
      <c r="J73" s="31"/>
      <c r="K73" s="31"/>
      <c r="L73" s="31"/>
      <c r="M73" s="31"/>
      <c r="N73" s="31"/>
      <c r="O73" s="48">
        <f t="shared" si="25"/>
        <v>-174700.4</v>
      </c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>
      <c r="B74" s="29" t="s">
        <v>36</v>
      </c>
      <c r="C74" s="20">
        <f t="shared" si="26"/>
        <v>30550.993333333336</v>
      </c>
      <c r="D74" s="20">
        <f t="shared" si="26"/>
        <v>45482.67333333334</v>
      </c>
      <c r="E74" s="20">
        <f t="shared" si="26"/>
        <v>-31256.826666666668</v>
      </c>
      <c r="F74" s="31"/>
      <c r="G74" s="31"/>
      <c r="H74" s="31"/>
      <c r="I74" s="31"/>
      <c r="J74" s="31"/>
      <c r="K74" s="31"/>
      <c r="L74" s="31"/>
      <c r="M74" s="31"/>
      <c r="N74" s="31"/>
      <c r="O74" s="48">
        <f t="shared" si="25"/>
        <v>44776.840000000004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idden="1">
      <c r="B75" s="29" t="s">
        <v>37</v>
      </c>
      <c r="C75" s="20">
        <f t="shared" si="26"/>
        <v>0</v>
      </c>
      <c r="D75" s="20">
        <f t="shared" si="26"/>
        <v>0</v>
      </c>
      <c r="E75" s="20">
        <f t="shared" si="26"/>
        <v>0</v>
      </c>
      <c r="F75" s="31"/>
      <c r="G75" s="31"/>
      <c r="H75" s="31"/>
      <c r="I75" s="31"/>
      <c r="J75" s="31"/>
      <c r="K75" s="31"/>
      <c r="L75" s="31"/>
      <c r="M75" s="31"/>
      <c r="N75" s="31"/>
      <c r="O75" s="48">
        <f t="shared" si="25"/>
        <v>0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 hidden="1">
      <c r="B76" s="29" t="s">
        <v>38</v>
      </c>
      <c r="C76" s="20">
        <f t="shared" si="26"/>
        <v>0</v>
      </c>
      <c r="D76" s="20">
        <f t="shared" si="26"/>
        <v>0</v>
      </c>
      <c r="E76" s="20">
        <f t="shared" si="26"/>
        <v>0</v>
      </c>
      <c r="F76" s="31"/>
      <c r="G76" s="31"/>
      <c r="H76" s="31"/>
      <c r="I76" s="31"/>
      <c r="J76" s="31"/>
      <c r="K76" s="31"/>
      <c r="L76" s="31"/>
      <c r="M76" s="31"/>
      <c r="N76" s="31"/>
      <c r="O76" s="48">
        <f t="shared" si="25"/>
        <v>0</v>
      </c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 hidden="1">
      <c r="B77" s="29" t="s">
        <v>39</v>
      </c>
      <c r="C77" s="20">
        <f t="shared" si="26"/>
        <v>0</v>
      </c>
      <c r="D77" s="20">
        <f t="shared" si="26"/>
        <v>0</v>
      </c>
      <c r="E77" s="20">
        <f t="shared" si="26"/>
        <v>0</v>
      </c>
      <c r="F77" s="31"/>
      <c r="G77" s="31"/>
      <c r="H77" s="31"/>
      <c r="I77" s="31"/>
      <c r="J77" s="31"/>
      <c r="K77" s="31"/>
      <c r="L77" s="31"/>
      <c r="M77" s="31"/>
      <c r="N77" s="31"/>
      <c r="O77" s="48">
        <f t="shared" si="25"/>
        <v>0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 hidden="1">
      <c r="B78" s="29" t="s">
        <v>40</v>
      </c>
      <c r="C78" s="20">
        <f t="shared" si="26"/>
        <v>0</v>
      </c>
      <c r="D78" s="20">
        <f t="shared" si="26"/>
        <v>0</v>
      </c>
      <c r="E78" s="20">
        <f t="shared" si="26"/>
        <v>0</v>
      </c>
      <c r="F78" s="31"/>
      <c r="G78" s="31"/>
      <c r="H78" s="31"/>
      <c r="I78" s="31"/>
      <c r="J78" s="31"/>
      <c r="K78" s="31"/>
      <c r="L78" s="31"/>
      <c r="M78" s="31"/>
      <c r="N78" s="31"/>
      <c r="O78" s="48">
        <f t="shared" si="25"/>
        <v>0</v>
      </c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A79" t="s">
        <v>103</v>
      </c>
      <c r="B79" s="28" t="s">
        <v>45</v>
      </c>
      <c r="C79" s="19">
        <f t="shared" si="26"/>
        <v>-71824.100000000035</v>
      </c>
      <c r="D79" s="19">
        <f t="shared" si="26"/>
        <v>-169031.79000000004</v>
      </c>
      <c r="E79" s="19">
        <f t="shared" si="26"/>
        <v>-108417.17000000004</v>
      </c>
      <c r="F79" s="32"/>
      <c r="G79" s="32"/>
      <c r="H79" s="32"/>
      <c r="I79" s="32"/>
      <c r="J79" s="32"/>
      <c r="K79" s="32"/>
      <c r="L79" s="32"/>
      <c r="M79" s="32"/>
      <c r="N79" s="32"/>
      <c r="O79" s="49">
        <f t="shared" ref="O79" si="27">SUM(O72:O78)</f>
        <v>-349273.05999999994</v>
      </c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28"/>
      <c r="F80" s="30"/>
      <c r="G80" s="30"/>
      <c r="H80" s="30"/>
      <c r="I80" s="30"/>
      <c r="J80" s="30"/>
      <c r="K80" s="30"/>
      <c r="L80" s="30"/>
      <c r="M80" s="30"/>
      <c r="N80" s="30"/>
      <c r="O80" s="52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1:29">
      <c r="B81" s="28" t="s">
        <v>97</v>
      </c>
      <c r="F81" s="30"/>
      <c r="G81" s="30"/>
      <c r="H81" s="30"/>
      <c r="I81" s="30"/>
      <c r="J81" s="30"/>
      <c r="K81" s="30"/>
      <c r="L81" s="30"/>
      <c r="M81" s="30"/>
      <c r="N81" s="30"/>
      <c r="O81" s="4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1:29">
      <c r="B82" s="29" t="s">
        <v>34</v>
      </c>
      <c r="C82" s="20">
        <f t="shared" ref="C82:E89" si="28">C17-C49</f>
        <v>-9597.3666666666668</v>
      </c>
      <c r="D82" s="20">
        <f t="shared" si="28"/>
        <v>-3523.6466666666661</v>
      </c>
      <c r="E82" s="20">
        <f t="shared" si="28"/>
        <v>-3731.4666666666667</v>
      </c>
      <c r="F82" s="30"/>
      <c r="G82" s="30"/>
      <c r="H82" s="30"/>
      <c r="I82" s="30"/>
      <c r="J82" s="30"/>
      <c r="K82" s="30"/>
      <c r="L82" s="30"/>
      <c r="M82" s="30"/>
      <c r="N82" s="30"/>
      <c r="O82" s="48">
        <f t="shared" ref="O82:O88" si="29">SUM(C82:N82)</f>
        <v>-16852.48</v>
      </c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1:29">
      <c r="B83" s="29" t="s">
        <v>35</v>
      </c>
      <c r="C83" s="20">
        <f t="shared" si="28"/>
        <v>-10696.863333333331</v>
      </c>
      <c r="D83" s="20">
        <f t="shared" si="28"/>
        <v>-12532.633333333331</v>
      </c>
      <c r="E83" s="20">
        <f t="shared" si="28"/>
        <v>-3454.1033333333335</v>
      </c>
      <c r="F83" s="30"/>
      <c r="G83" s="30"/>
      <c r="H83" s="30"/>
      <c r="I83" s="30"/>
      <c r="J83" s="30"/>
      <c r="K83" s="30"/>
      <c r="L83" s="30"/>
      <c r="M83" s="30"/>
      <c r="N83" s="30"/>
      <c r="O83" s="48">
        <f t="shared" si="29"/>
        <v>-26683.599999999995</v>
      </c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1:29" hidden="1">
      <c r="B84" s="29" t="s">
        <v>36</v>
      </c>
      <c r="C84" s="20">
        <f t="shared" si="28"/>
        <v>-5810.97</v>
      </c>
      <c r="D84" s="20">
        <f t="shared" si="28"/>
        <v>-1987.46</v>
      </c>
      <c r="E84" s="20">
        <f t="shared" si="28"/>
        <v>-1939.32</v>
      </c>
      <c r="F84" s="30"/>
      <c r="G84" s="30"/>
      <c r="H84" s="30"/>
      <c r="I84" s="30"/>
      <c r="J84" s="30"/>
      <c r="K84" s="30"/>
      <c r="L84" s="30"/>
      <c r="M84" s="30"/>
      <c r="N84" s="30"/>
      <c r="O84" s="48">
        <f t="shared" si="29"/>
        <v>-9737.75</v>
      </c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1:29" hidden="1">
      <c r="B85" s="29" t="s">
        <v>37</v>
      </c>
      <c r="C85" s="20">
        <f t="shared" si="28"/>
        <v>0</v>
      </c>
      <c r="D85" s="20">
        <f t="shared" si="28"/>
        <v>0</v>
      </c>
      <c r="E85" s="20">
        <f t="shared" si="28"/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48">
        <f t="shared" si="29"/>
        <v>0</v>
      </c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1:29" hidden="1">
      <c r="B86" s="29" t="s">
        <v>38</v>
      </c>
      <c r="C86" s="20">
        <f t="shared" si="28"/>
        <v>0</v>
      </c>
      <c r="D86" s="20">
        <f t="shared" si="28"/>
        <v>0</v>
      </c>
      <c r="E86" s="20">
        <f t="shared" si="28"/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48">
        <f t="shared" si="29"/>
        <v>0</v>
      </c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 hidden="1">
      <c r="B87" s="29" t="s">
        <v>39</v>
      </c>
      <c r="C87" s="20">
        <f t="shared" si="28"/>
        <v>0</v>
      </c>
      <c r="D87" s="20">
        <f t="shared" si="28"/>
        <v>0</v>
      </c>
      <c r="E87" s="20">
        <f t="shared" si="28"/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48">
        <f t="shared" si="29"/>
        <v>0</v>
      </c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29">
      <c r="B88" s="29" t="s">
        <v>40</v>
      </c>
      <c r="C88" s="20">
        <f t="shared" si="28"/>
        <v>-20413.683333333334</v>
      </c>
      <c r="D88" s="20">
        <f t="shared" si="28"/>
        <v>-24157.943333333336</v>
      </c>
      <c r="E88" s="20">
        <f t="shared" si="28"/>
        <v>-30112.273333333338</v>
      </c>
      <c r="F88" s="30"/>
      <c r="G88" s="30"/>
      <c r="H88" s="30"/>
      <c r="I88" s="30"/>
      <c r="J88" s="30"/>
      <c r="K88" s="30"/>
      <c r="L88" s="30"/>
      <c r="M88" s="30"/>
      <c r="N88" s="30"/>
      <c r="O88" s="48">
        <f t="shared" si="29"/>
        <v>-74683.900000000009</v>
      </c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1:29">
      <c r="A89" t="s">
        <v>104</v>
      </c>
      <c r="B89" s="28" t="s">
        <v>45</v>
      </c>
      <c r="C89" s="19">
        <f t="shared" si="28"/>
        <v>-46518.883333333324</v>
      </c>
      <c r="D89" s="19">
        <f t="shared" si="28"/>
        <v>-42201.683333333342</v>
      </c>
      <c r="E89" s="19">
        <f t="shared" si="28"/>
        <v>-39237.163333333338</v>
      </c>
      <c r="F89" s="32"/>
      <c r="G89" s="32"/>
      <c r="H89" s="32"/>
      <c r="I89" s="32"/>
      <c r="J89" s="32"/>
      <c r="K89" s="32"/>
      <c r="L89" s="32"/>
      <c r="M89" s="32"/>
      <c r="N89" s="32"/>
      <c r="O89" s="49">
        <f t="shared" ref="O89" si="30">SUM(O82:O88)</f>
        <v>-127957.73000000001</v>
      </c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1:29">
      <c r="B90" s="28"/>
      <c r="F90" s="30"/>
      <c r="G90" s="30"/>
      <c r="H90" s="30"/>
      <c r="I90" s="30"/>
      <c r="J90" s="30"/>
      <c r="K90" s="30"/>
      <c r="L90" s="30"/>
      <c r="M90" s="30"/>
      <c r="N90" s="30"/>
      <c r="O90" s="52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>
      <c r="B91" s="28" t="s">
        <v>98</v>
      </c>
      <c r="F91" s="30"/>
      <c r="G91" s="30"/>
      <c r="H91" s="30"/>
      <c r="I91" s="30"/>
      <c r="J91" s="30"/>
      <c r="K91" s="30"/>
      <c r="L91" s="30"/>
      <c r="M91" s="30"/>
      <c r="N91" s="30"/>
      <c r="O91" s="52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>
      <c r="B92" s="29" t="s">
        <v>34</v>
      </c>
      <c r="C92" s="20">
        <f t="shared" ref="C92:E99" si="31">C27-C59</f>
        <v>-1970.5500000000002</v>
      </c>
      <c r="D92" s="20">
        <f t="shared" si="31"/>
        <v>-3476.0299999999997</v>
      </c>
      <c r="E92" s="20">
        <f t="shared" si="31"/>
        <v>-2191.5299999999997</v>
      </c>
      <c r="F92" s="30"/>
      <c r="G92" s="30"/>
      <c r="H92" s="30"/>
      <c r="I92" s="30"/>
      <c r="J92" s="30"/>
      <c r="K92" s="30"/>
      <c r="L92" s="30"/>
      <c r="M92" s="30"/>
      <c r="N92" s="30"/>
      <c r="O92" s="48">
        <f t="shared" ref="O92:O98" si="32">SUM(C92:N92)</f>
        <v>-7638.11</v>
      </c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1:29">
      <c r="B93" s="29" t="s">
        <v>35</v>
      </c>
      <c r="C93" s="20">
        <f t="shared" si="31"/>
        <v>962.58333333333337</v>
      </c>
      <c r="D93" s="20">
        <f t="shared" si="31"/>
        <v>962.58333333333337</v>
      </c>
      <c r="E93" s="20">
        <f t="shared" si="31"/>
        <v>962.58333333333337</v>
      </c>
      <c r="F93" s="30"/>
      <c r="G93" s="30"/>
      <c r="H93" s="30"/>
      <c r="I93" s="30"/>
      <c r="J93" s="30"/>
      <c r="K93" s="30"/>
      <c r="L93" s="30"/>
      <c r="M93" s="30"/>
      <c r="N93" s="30"/>
      <c r="O93" s="48">
        <f t="shared" si="32"/>
        <v>2887.75</v>
      </c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>
      <c r="B94" s="29" t="s">
        <v>36</v>
      </c>
      <c r="C94" s="20">
        <f t="shared" si="31"/>
        <v>179.75</v>
      </c>
      <c r="D94" s="20">
        <f t="shared" si="31"/>
        <v>179.75</v>
      </c>
      <c r="E94" s="20">
        <f t="shared" si="31"/>
        <v>179.75</v>
      </c>
      <c r="F94" s="30"/>
      <c r="G94" s="30"/>
      <c r="H94" s="30"/>
      <c r="I94" s="30"/>
      <c r="J94" s="30"/>
      <c r="K94" s="30"/>
      <c r="L94" s="30"/>
      <c r="M94" s="30"/>
      <c r="N94" s="30"/>
      <c r="O94" s="48">
        <f t="shared" si="32"/>
        <v>539.25</v>
      </c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1:29" hidden="1">
      <c r="B95" s="29" t="s">
        <v>37</v>
      </c>
      <c r="C95" s="20">
        <f t="shared" si="31"/>
        <v>0</v>
      </c>
      <c r="D95" s="20">
        <f t="shared" si="31"/>
        <v>0</v>
      </c>
      <c r="E95" s="20">
        <f t="shared" si="31"/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48">
        <f t="shared" si="32"/>
        <v>0</v>
      </c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1:29" hidden="1">
      <c r="B96" s="29" t="s">
        <v>38</v>
      </c>
      <c r="C96" s="20">
        <f t="shared" si="31"/>
        <v>0</v>
      </c>
      <c r="D96" s="20">
        <f t="shared" si="31"/>
        <v>0</v>
      </c>
      <c r="E96" s="20">
        <f t="shared" si="31"/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48">
        <f t="shared" si="32"/>
        <v>0</v>
      </c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1:29" hidden="1">
      <c r="B97" s="29" t="s">
        <v>39</v>
      </c>
      <c r="C97" s="20">
        <f t="shared" si="31"/>
        <v>0</v>
      </c>
      <c r="D97" s="20">
        <f t="shared" si="31"/>
        <v>0</v>
      </c>
      <c r="E97" s="20">
        <f t="shared" si="31"/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48">
        <f t="shared" si="32"/>
        <v>0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1:29">
      <c r="B98" s="29" t="s">
        <v>40</v>
      </c>
      <c r="C98" s="20">
        <f t="shared" si="31"/>
        <v>27996</v>
      </c>
      <c r="D98" s="20">
        <f t="shared" si="31"/>
        <v>27996</v>
      </c>
      <c r="E98" s="20">
        <f t="shared" si="31"/>
        <v>27996</v>
      </c>
      <c r="F98" s="30"/>
      <c r="G98" s="30"/>
      <c r="H98" s="30"/>
      <c r="I98" s="30"/>
      <c r="J98" s="30"/>
      <c r="K98" s="30"/>
      <c r="L98" s="30"/>
      <c r="M98" s="30"/>
      <c r="N98" s="30"/>
      <c r="O98" s="48">
        <f t="shared" si="32"/>
        <v>83988</v>
      </c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>
      <c r="A99" t="s">
        <v>105</v>
      </c>
      <c r="B99" s="28" t="s">
        <v>45</v>
      </c>
      <c r="C99" s="19">
        <f t="shared" si="31"/>
        <v>27167.783333333333</v>
      </c>
      <c r="D99" s="19">
        <f t="shared" si="31"/>
        <v>25662.303333333333</v>
      </c>
      <c r="E99" s="19">
        <f t="shared" si="31"/>
        <v>26946.803333333333</v>
      </c>
      <c r="F99" s="32"/>
      <c r="G99" s="32"/>
      <c r="H99" s="32"/>
      <c r="I99" s="32"/>
      <c r="J99" s="32"/>
      <c r="K99" s="32"/>
      <c r="L99" s="32"/>
      <c r="M99" s="32"/>
      <c r="N99" s="32"/>
      <c r="O99" s="49">
        <f t="shared" ref="O99" si="33">SUM(O92:O98)</f>
        <v>79776.89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1:29">
      <c r="B100" s="28"/>
      <c r="F100" s="30"/>
      <c r="G100" s="30"/>
      <c r="H100" s="30"/>
      <c r="I100" s="30"/>
      <c r="J100" s="30"/>
      <c r="K100" s="30"/>
      <c r="L100" s="30"/>
      <c r="M100" s="30"/>
      <c r="N100" s="30"/>
      <c r="O100" s="52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1:29" ht="15.75" thickBot="1">
      <c r="B101" s="28" t="s">
        <v>45</v>
      </c>
      <c r="C101" s="35">
        <f>C36-C68</f>
        <v>-91175.20000000007</v>
      </c>
      <c r="D101" s="35">
        <f t="shared" ref="D101:E101" si="34">D36-D68</f>
        <v>-185571.17000000004</v>
      </c>
      <c r="E101" s="35">
        <f t="shared" si="34"/>
        <v>-120707.53000000003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21">
        <f t="shared" ref="O101" si="35">O99+O89+O79</f>
        <v>-397453.89999999997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1:29" ht="15.75" thickTop="1">
      <c r="B102" s="27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1:29">
      <c r="B103" s="27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>
      <c r="B104" s="27" t="s">
        <v>58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 ht="27.75" customHeight="1">
      <c r="B105" s="73" t="s">
        <v>67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1:29" ht="27.75" customHeight="1">
      <c r="B106" s="73" t="s">
        <v>68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1:29">
      <c r="B107" s="1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1:29">
      <c r="B108" s="58" t="s">
        <v>60</v>
      </c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1:29" ht="31.5" customHeight="1">
      <c r="B109" s="72" t="s">
        <v>61</v>
      </c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29" ht="30.75" customHeight="1">
      <c r="B110" s="72" t="s">
        <v>62</v>
      </c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1:29" ht="30" customHeight="1">
      <c r="B111" s="72" t="s">
        <v>65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</sheetData>
  <mergeCells count="5">
    <mergeCell ref="B105:O105"/>
    <mergeCell ref="B109:O109"/>
    <mergeCell ref="B110:O110"/>
    <mergeCell ref="B111:O111"/>
    <mergeCell ref="B106:O106"/>
  </mergeCells>
  <pageMargins left="0" right="0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S24"/>
  <sheetViews>
    <sheetView workbookViewId="0">
      <selection activeCell="P3" sqref="P3"/>
    </sheetView>
  </sheetViews>
  <sheetFormatPr defaultRowHeight="15"/>
  <cols>
    <col min="1" max="1" width="3.42578125" bestFit="1" customWidth="1"/>
    <col min="2" max="2" width="34.85546875" customWidth="1"/>
    <col min="3" max="12" width="10.5703125" bestFit="1" customWidth="1"/>
    <col min="13" max="15" width="11.28515625" bestFit="1" customWidth="1"/>
    <col min="16" max="16" width="11.5703125" bestFit="1" customWidth="1"/>
    <col min="17" max="19" width="11.28515625" bestFit="1" customWidth="1"/>
  </cols>
  <sheetData>
    <row r="2" spans="1:19">
      <c r="B2" s="36" t="s">
        <v>27</v>
      </c>
    </row>
    <row r="3" spans="1:19">
      <c r="C3" s="63">
        <v>2010</v>
      </c>
      <c r="D3" s="63">
        <v>2010</v>
      </c>
      <c r="E3" s="63">
        <v>2010</v>
      </c>
      <c r="F3" s="63">
        <v>2010</v>
      </c>
      <c r="G3" s="63">
        <v>2010</v>
      </c>
      <c r="H3" s="63">
        <v>2010</v>
      </c>
      <c r="I3" s="63">
        <v>2010</v>
      </c>
      <c r="J3" s="63">
        <v>2010</v>
      </c>
      <c r="K3" s="63">
        <v>2010</v>
      </c>
      <c r="L3" s="63">
        <v>2010</v>
      </c>
      <c r="M3" s="63">
        <v>2010</v>
      </c>
      <c r="N3" s="63">
        <v>2010</v>
      </c>
      <c r="O3" s="64" t="s">
        <v>31</v>
      </c>
      <c r="P3" s="65">
        <v>2010</v>
      </c>
      <c r="Q3" s="64">
        <v>2010</v>
      </c>
      <c r="R3" s="64">
        <v>2010</v>
      </c>
      <c r="S3" s="64">
        <v>2010</v>
      </c>
    </row>
    <row r="4" spans="1:19">
      <c r="C4" s="63" t="s">
        <v>0</v>
      </c>
      <c r="D4" s="63" t="s">
        <v>1</v>
      </c>
      <c r="E4" s="63" t="s">
        <v>2</v>
      </c>
      <c r="F4" s="63" t="s">
        <v>3</v>
      </c>
      <c r="G4" s="63" t="s">
        <v>4</v>
      </c>
      <c r="H4" s="63" t="s">
        <v>5</v>
      </c>
      <c r="I4" s="63" t="s">
        <v>6</v>
      </c>
      <c r="J4" s="63" t="s">
        <v>7</v>
      </c>
      <c r="K4" s="63" t="s">
        <v>8</v>
      </c>
      <c r="L4" s="63" t="s">
        <v>9</v>
      </c>
      <c r="M4" s="63" t="s">
        <v>10</v>
      </c>
      <c r="N4" s="63" t="s">
        <v>11</v>
      </c>
      <c r="O4" s="64"/>
      <c r="P4" s="65" t="s">
        <v>69</v>
      </c>
      <c r="Q4" s="64" t="s">
        <v>70</v>
      </c>
      <c r="R4" s="64" t="s">
        <v>71</v>
      </c>
      <c r="S4" s="64" t="s">
        <v>72</v>
      </c>
    </row>
    <row r="5" spans="1:19">
      <c r="A5" t="s">
        <v>22</v>
      </c>
      <c r="B5" t="s">
        <v>13</v>
      </c>
      <c r="C5" s="1">
        <v>2369036</v>
      </c>
      <c r="D5" s="1">
        <f>C17</f>
        <v>2417282.7042496516</v>
      </c>
      <c r="E5" s="1">
        <f>D17</f>
        <v>2008878.0759582312</v>
      </c>
      <c r="F5" s="1">
        <f>E17</f>
        <v>1899184.6391990476</v>
      </c>
      <c r="G5" s="1">
        <f>F17</f>
        <v>1899184.6391990476</v>
      </c>
      <c r="H5" s="1">
        <f t="shared" ref="H5:N5" si="0">G17</f>
        <v>1899184.6391990476</v>
      </c>
      <c r="I5" s="1">
        <f t="shared" si="0"/>
        <v>1899184.6391990476</v>
      </c>
      <c r="J5" s="1">
        <f t="shared" si="0"/>
        <v>1899184.6391990476</v>
      </c>
      <c r="K5" s="1">
        <f t="shared" si="0"/>
        <v>1899184.6391990476</v>
      </c>
      <c r="L5" s="1">
        <f t="shared" si="0"/>
        <v>1899184.6391990476</v>
      </c>
      <c r="M5" s="1">
        <f t="shared" si="0"/>
        <v>1899184.6391990476</v>
      </c>
      <c r="N5" s="1">
        <f t="shared" si="0"/>
        <v>1899184.6391990476</v>
      </c>
      <c r="O5" s="37"/>
      <c r="P5" s="66">
        <f>C5</f>
        <v>2369036</v>
      </c>
      <c r="Q5" s="37"/>
      <c r="R5" s="37"/>
      <c r="S5" s="37"/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7"/>
      <c r="P6" s="67"/>
      <c r="Q6" s="37"/>
      <c r="R6" s="37"/>
      <c r="S6" s="37"/>
    </row>
    <row r="7" spans="1:19">
      <c r="B7" t="s">
        <v>14</v>
      </c>
      <c r="C7" s="2">
        <v>762517.58312813356</v>
      </c>
      <c r="D7" s="2">
        <v>674515.55651750427</v>
      </c>
      <c r="E7" s="2">
        <v>666481.51311140764</v>
      </c>
      <c r="F7" s="2">
        <v>579081.23508125055</v>
      </c>
      <c r="G7" s="2">
        <v>572813.44250258419</v>
      </c>
      <c r="H7" s="2">
        <v>574689.38997737388</v>
      </c>
      <c r="I7" s="2">
        <v>610752.61206215969</v>
      </c>
      <c r="J7" s="2">
        <v>612737.13680048392</v>
      </c>
      <c r="K7" s="2">
        <v>571980.18213039427</v>
      </c>
      <c r="L7" s="2">
        <v>622702.35335211549</v>
      </c>
      <c r="M7" s="2">
        <v>672378.20568990125</v>
      </c>
      <c r="N7" s="2">
        <v>738830.05628822499</v>
      </c>
      <c r="O7" s="43">
        <f>SUM(C7:N7)</f>
        <v>7659479.2666415349</v>
      </c>
      <c r="P7" s="68">
        <f>SUM(C7:E7)</f>
        <v>2103514.6527570458</v>
      </c>
      <c r="Q7" s="43">
        <f>SUM(F7:H7)</f>
        <v>1726584.0675612085</v>
      </c>
      <c r="R7" s="43">
        <f>SUM(I7:K7)</f>
        <v>1795469.930993038</v>
      </c>
      <c r="S7" s="43">
        <f>SUM(L7:N7)</f>
        <v>2033910.6153302416</v>
      </c>
    </row>
    <row r="8" spans="1:19">
      <c r="A8" t="s">
        <v>21</v>
      </c>
      <c r="B8" t="s">
        <v>15</v>
      </c>
      <c r="C8" s="1">
        <v>762818.20575034816</v>
      </c>
      <c r="D8" s="1">
        <v>679100.83829142037</v>
      </c>
      <c r="E8" s="1">
        <v>619689.10675918369</v>
      </c>
      <c r="F8" s="1"/>
      <c r="G8" s="1"/>
      <c r="H8" s="1"/>
      <c r="I8" s="1"/>
      <c r="J8" s="1"/>
      <c r="K8" s="1"/>
      <c r="L8" s="1"/>
      <c r="M8" s="1"/>
      <c r="N8" s="1"/>
      <c r="O8" s="43">
        <f t="shared" ref="O8:O9" si="1">SUM(C8:N8)</f>
        <v>2061608.1508009522</v>
      </c>
      <c r="P8" s="68">
        <f>SUM(C8:E8)</f>
        <v>2061608.1508009522</v>
      </c>
      <c r="Q8" s="43">
        <f>SUM(F8:H8)</f>
        <v>0</v>
      </c>
      <c r="R8" s="43">
        <f>SUM(I8:K8)</f>
        <v>0</v>
      </c>
      <c r="S8" s="43">
        <f>SUM(L8:N8)</f>
        <v>0</v>
      </c>
    </row>
    <row r="9" spans="1:19">
      <c r="B9" t="s">
        <v>16</v>
      </c>
      <c r="C9" s="22">
        <f>C8-C7</f>
        <v>300.62262221460696</v>
      </c>
      <c r="D9" s="22">
        <f>D8-D7</f>
        <v>4585.2817739160964</v>
      </c>
      <c r="E9" s="22">
        <f t="shared" ref="E9:N9" si="2">E8-E7</f>
        <v>-46792.406352223945</v>
      </c>
      <c r="F9" s="22">
        <f t="shared" si="2"/>
        <v>-579081.23508125055</v>
      </c>
      <c r="G9" s="22">
        <f t="shared" si="2"/>
        <v>-572813.44250258419</v>
      </c>
      <c r="H9" s="22">
        <f t="shared" si="2"/>
        <v>-574689.38997737388</v>
      </c>
      <c r="I9" s="22">
        <f t="shared" si="2"/>
        <v>-610752.61206215969</v>
      </c>
      <c r="J9" s="22">
        <f t="shared" si="2"/>
        <v>-612737.13680048392</v>
      </c>
      <c r="K9" s="22">
        <f t="shared" si="2"/>
        <v>-571980.18213039427</v>
      </c>
      <c r="L9" s="22">
        <f t="shared" si="2"/>
        <v>-622702.35335211549</v>
      </c>
      <c r="M9" s="22">
        <f t="shared" si="2"/>
        <v>-672378.20568990125</v>
      </c>
      <c r="N9" s="22">
        <f t="shared" si="2"/>
        <v>-738830.05628822499</v>
      </c>
      <c r="O9" s="44">
        <f t="shared" si="1"/>
        <v>-5597871.1158405812</v>
      </c>
      <c r="P9" s="69">
        <f t="shared" ref="P9:S9" si="3">P8-P7</f>
        <v>-41906.501956093591</v>
      </c>
      <c r="Q9" s="44">
        <f t="shared" si="3"/>
        <v>-1726584.0675612085</v>
      </c>
      <c r="R9" s="44">
        <f t="shared" si="3"/>
        <v>-1795469.930993038</v>
      </c>
      <c r="S9" s="44">
        <f t="shared" si="3"/>
        <v>-2033910.6153302416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7"/>
      <c r="P10" s="67"/>
      <c r="Q10" s="37"/>
      <c r="R10" s="37"/>
      <c r="S10" s="37"/>
    </row>
    <row r="11" spans="1:19">
      <c r="B11" t="s">
        <v>18</v>
      </c>
      <c r="C11" s="1">
        <f>5574777/12</f>
        <v>464564.75</v>
      </c>
      <c r="D11" s="1">
        <f t="shared" ref="D11:N11" si="4">5574777/12</f>
        <v>464564.75</v>
      </c>
      <c r="E11" s="1">
        <f t="shared" si="4"/>
        <v>464564.75</v>
      </c>
      <c r="F11" s="1">
        <f t="shared" si="4"/>
        <v>464564.75</v>
      </c>
      <c r="G11" s="1">
        <f t="shared" si="4"/>
        <v>464564.75</v>
      </c>
      <c r="H11" s="1">
        <f t="shared" si="4"/>
        <v>464564.75</v>
      </c>
      <c r="I11" s="1">
        <f t="shared" si="4"/>
        <v>464564.75</v>
      </c>
      <c r="J11" s="1">
        <f t="shared" si="4"/>
        <v>464564.75</v>
      </c>
      <c r="K11" s="1">
        <f t="shared" si="4"/>
        <v>464564.75</v>
      </c>
      <c r="L11" s="1">
        <f t="shared" si="4"/>
        <v>464564.75</v>
      </c>
      <c r="M11" s="1">
        <f t="shared" si="4"/>
        <v>464564.75</v>
      </c>
      <c r="N11" s="1">
        <f t="shared" si="4"/>
        <v>464564.75</v>
      </c>
      <c r="O11" s="43">
        <f t="shared" ref="O11:O13" si="5">SUM(C11:N11)</f>
        <v>5574777</v>
      </c>
      <c r="P11" s="68">
        <f>SUM(C11:E11)</f>
        <v>1393694.25</v>
      </c>
      <c r="Q11" s="43">
        <f>SUM(F11:H11)</f>
        <v>1393694.25</v>
      </c>
      <c r="R11" s="43">
        <f>SUM(I11:K11)</f>
        <v>1393694.25</v>
      </c>
      <c r="S11" s="43">
        <f>SUM(L11:N11)</f>
        <v>1393694.25</v>
      </c>
    </row>
    <row r="12" spans="1:19">
      <c r="A12" t="s">
        <v>20</v>
      </c>
      <c r="B12" t="s">
        <v>17</v>
      </c>
      <c r="C12" s="1">
        <f>'ID-Sch91 Budget-Act Exp'!C68</f>
        <v>811064.90999999992</v>
      </c>
      <c r="D12" s="1">
        <f>'ID-Sch91 Budget-Act Exp'!D68</f>
        <v>270696.20999999996</v>
      </c>
      <c r="E12" s="1">
        <f>'ID-Sch91 Budget-Act Exp'!E68</f>
        <v>509995.67000000004</v>
      </c>
      <c r="F12" s="1"/>
      <c r="G12" s="1"/>
      <c r="H12" s="1"/>
      <c r="I12" s="1"/>
      <c r="J12" s="1"/>
      <c r="K12" s="1"/>
      <c r="L12" s="1"/>
      <c r="M12" s="1"/>
      <c r="N12" s="1"/>
      <c r="O12" s="43">
        <f t="shared" si="5"/>
        <v>1591756.79</v>
      </c>
      <c r="P12" s="68">
        <f>SUM(C12:E12)</f>
        <v>1591756.79</v>
      </c>
      <c r="Q12" s="43">
        <f>SUM(F12:H12)</f>
        <v>0</v>
      </c>
      <c r="R12" s="43">
        <f>SUM(I12:K12)</f>
        <v>0</v>
      </c>
      <c r="S12" s="43">
        <f>SUM(L12:N12)</f>
        <v>0</v>
      </c>
    </row>
    <row r="13" spans="1:19">
      <c r="B13" t="s">
        <v>19</v>
      </c>
      <c r="C13" s="23">
        <f>C11-C12</f>
        <v>-346500.15999999992</v>
      </c>
      <c r="D13" s="23">
        <f t="shared" ref="D13:N13" si="6">D11-D12</f>
        <v>193868.54000000004</v>
      </c>
      <c r="E13" s="23">
        <f t="shared" si="6"/>
        <v>-45430.920000000042</v>
      </c>
      <c r="F13" s="23">
        <f t="shared" si="6"/>
        <v>464564.75</v>
      </c>
      <c r="G13" s="23">
        <f t="shared" si="6"/>
        <v>464564.75</v>
      </c>
      <c r="H13" s="23">
        <f t="shared" si="6"/>
        <v>464564.75</v>
      </c>
      <c r="I13" s="23">
        <f t="shared" si="6"/>
        <v>464564.75</v>
      </c>
      <c r="J13" s="23">
        <f t="shared" si="6"/>
        <v>464564.75</v>
      </c>
      <c r="K13" s="23">
        <f t="shared" si="6"/>
        <v>464564.75</v>
      </c>
      <c r="L13" s="23">
        <f t="shared" si="6"/>
        <v>464564.75</v>
      </c>
      <c r="M13" s="23">
        <f t="shared" si="6"/>
        <v>464564.75</v>
      </c>
      <c r="N13" s="23">
        <f t="shared" si="6"/>
        <v>464564.75</v>
      </c>
      <c r="O13" s="44">
        <f t="shared" si="5"/>
        <v>3983020.21</v>
      </c>
      <c r="P13" s="70">
        <f t="shared" ref="P13:S13" si="7">P11-P12</f>
        <v>-198062.54000000004</v>
      </c>
      <c r="Q13" s="45">
        <f t="shared" si="7"/>
        <v>1393694.25</v>
      </c>
      <c r="R13" s="45">
        <f t="shared" si="7"/>
        <v>1393694.25</v>
      </c>
      <c r="S13" s="45">
        <f t="shared" si="7"/>
        <v>1393694.25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7"/>
      <c r="P14" s="67"/>
      <c r="Q14" s="37"/>
      <c r="R14" s="37"/>
      <c r="S14" s="37"/>
    </row>
    <row r="15" spans="1:19" ht="30">
      <c r="A15" t="s">
        <v>24</v>
      </c>
      <c r="B15" s="4" t="s">
        <v>23</v>
      </c>
      <c r="C15" s="1">
        <f>C8-C12</f>
        <v>-48246.704249651753</v>
      </c>
      <c r="D15" s="1">
        <f t="shared" ref="D15:S15" si="8">D8-D12</f>
        <v>408404.62829142041</v>
      </c>
      <c r="E15" s="1">
        <f t="shared" si="8"/>
        <v>109693.43675918365</v>
      </c>
      <c r="F15" s="1">
        <f t="shared" si="8"/>
        <v>0</v>
      </c>
      <c r="G15" s="1">
        <f t="shared" si="8"/>
        <v>0</v>
      </c>
      <c r="H15" s="1">
        <f t="shared" si="8"/>
        <v>0</v>
      </c>
      <c r="I15" s="1">
        <f t="shared" si="8"/>
        <v>0</v>
      </c>
      <c r="J15" s="1">
        <f t="shared" si="8"/>
        <v>0</v>
      </c>
      <c r="K15" s="1">
        <f t="shared" si="8"/>
        <v>0</v>
      </c>
      <c r="L15" s="1">
        <f t="shared" si="8"/>
        <v>0</v>
      </c>
      <c r="M15" s="1">
        <f t="shared" si="8"/>
        <v>0</v>
      </c>
      <c r="N15" s="1">
        <f t="shared" si="8"/>
        <v>0</v>
      </c>
      <c r="O15" s="41">
        <f t="shared" si="8"/>
        <v>469851.36080095218</v>
      </c>
      <c r="P15" s="71">
        <f t="shared" si="8"/>
        <v>469851.36080095218</v>
      </c>
      <c r="Q15" s="41">
        <f t="shared" si="8"/>
        <v>0</v>
      </c>
      <c r="R15" s="41">
        <f t="shared" si="8"/>
        <v>0</v>
      </c>
      <c r="S15" s="41">
        <f t="shared" si="8"/>
        <v>0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7"/>
      <c r="P16" s="67"/>
      <c r="Q16" s="37"/>
      <c r="R16" s="37"/>
      <c r="S16" s="37"/>
    </row>
    <row r="17" spans="2:19" ht="15.75" thickBot="1">
      <c r="B17" t="s">
        <v>25</v>
      </c>
      <c r="C17" s="55">
        <f>C5-C15</f>
        <v>2417282.7042496516</v>
      </c>
      <c r="D17" s="55">
        <f t="shared" ref="D17:N17" si="9">D5-D15</f>
        <v>2008878.0759582312</v>
      </c>
      <c r="E17" s="55">
        <f t="shared" si="9"/>
        <v>1899184.6391990476</v>
      </c>
      <c r="F17" s="55">
        <f t="shared" si="9"/>
        <v>1899184.6391990476</v>
      </c>
      <c r="G17" s="55">
        <f t="shared" si="9"/>
        <v>1899184.6391990476</v>
      </c>
      <c r="H17" s="55">
        <f t="shared" si="9"/>
        <v>1899184.6391990476</v>
      </c>
      <c r="I17" s="55">
        <f t="shared" si="9"/>
        <v>1899184.6391990476</v>
      </c>
      <c r="J17" s="55">
        <f t="shared" si="9"/>
        <v>1899184.6391990476</v>
      </c>
      <c r="K17" s="55">
        <f t="shared" si="9"/>
        <v>1899184.6391990476</v>
      </c>
      <c r="L17" s="55">
        <f t="shared" si="9"/>
        <v>1899184.6391990476</v>
      </c>
      <c r="M17" s="55">
        <f t="shared" si="9"/>
        <v>1899184.6391990476</v>
      </c>
      <c r="N17" s="55">
        <f t="shared" si="9"/>
        <v>1899184.6391990476</v>
      </c>
      <c r="O17" s="43"/>
      <c r="P17" s="68">
        <f t="shared" ref="P17:S17" si="10">P5-P15</f>
        <v>1899184.6391990478</v>
      </c>
      <c r="Q17" s="43">
        <f t="shared" si="10"/>
        <v>0</v>
      </c>
      <c r="R17" s="43">
        <f t="shared" si="10"/>
        <v>0</v>
      </c>
      <c r="S17" s="43">
        <f t="shared" si="10"/>
        <v>0</v>
      </c>
    </row>
    <row r="18" spans="2:19" ht="15.75" thickTop="1">
      <c r="O18" s="37"/>
      <c r="P18" s="67"/>
      <c r="Q18" s="37"/>
      <c r="R18" s="37"/>
      <c r="S18" s="37"/>
    </row>
    <row r="19" spans="2:19">
      <c r="B19" t="s">
        <v>30</v>
      </c>
      <c r="E19" s="3"/>
      <c r="F19" s="3">
        <f>F5-F7+F11</f>
        <v>1784668.154117797</v>
      </c>
      <c r="G19" s="3">
        <f t="shared" ref="G19:N19" si="11">F19-G7+G11</f>
        <v>1676419.4616152127</v>
      </c>
      <c r="H19" s="3">
        <f t="shared" si="11"/>
        <v>1566294.8216378388</v>
      </c>
      <c r="I19" s="3">
        <f t="shared" si="11"/>
        <v>1420106.9595756792</v>
      </c>
      <c r="J19" s="3">
        <f t="shared" si="11"/>
        <v>1271934.5727751954</v>
      </c>
      <c r="K19" s="3">
        <f t="shared" si="11"/>
        <v>1164519.1406448011</v>
      </c>
      <c r="L19" s="3">
        <f t="shared" si="11"/>
        <v>1006381.5372926856</v>
      </c>
      <c r="M19" s="3">
        <f t="shared" si="11"/>
        <v>798568.08160278434</v>
      </c>
      <c r="N19" s="3">
        <f t="shared" si="11"/>
        <v>524302.77531455935</v>
      </c>
      <c r="O19" s="37"/>
      <c r="P19" s="68">
        <f>N19</f>
        <v>524302.77531455935</v>
      </c>
      <c r="Q19" s="37"/>
      <c r="R19" s="37"/>
      <c r="S19" s="37"/>
    </row>
    <row r="21" spans="2:19">
      <c r="B21" s="47" t="s">
        <v>26</v>
      </c>
    </row>
    <row r="22" spans="2:19">
      <c r="B22" s="74" t="s">
        <v>81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2:19" ht="30.75" customHeight="1">
      <c r="B23" s="72" t="s">
        <v>82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2:19" ht="18" customHeight="1">
      <c r="B24" s="74" t="s">
        <v>86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</sheetData>
  <mergeCells count="3">
    <mergeCell ref="B24:N24"/>
    <mergeCell ref="B22:O22"/>
    <mergeCell ref="B23:O23"/>
  </mergeCells>
  <pageMargins left="0" right="0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BD111"/>
  <sheetViews>
    <sheetView workbookViewId="0">
      <pane xSplit="2" ySplit="4" topLeftCell="G5" activePane="bottomRight" state="frozen"/>
      <selection activeCell="C34" sqref="C34"/>
      <selection pane="topRight" activeCell="C34" sqref="C34"/>
      <selection pane="bottomLeft" activeCell="C34" sqref="C34"/>
      <selection pane="bottomRight" activeCell="B3" sqref="B3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6" t="s">
        <v>27</v>
      </c>
    </row>
    <row r="3" spans="1:28">
      <c r="B3" s="5" t="s">
        <v>47</v>
      </c>
      <c r="C3" s="61">
        <v>2010</v>
      </c>
      <c r="D3" s="61">
        <v>2010</v>
      </c>
      <c r="E3" s="61">
        <v>2010</v>
      </c>
      <c r="F3" s="61">
        <v>2010</v>
      </c>
      <c r="G3" s="61">
        <v>2010</v>
      </c>
      <c r="H3" s="61">
        <v>2010</v>
      </c>
      <c r="I3" s="61">
        <v>2010</v>
      </c>
      <c r="J3" s="61">
        <v>2010</v>
      </c>
      <c r="K3" s="61">
        <v>2010</v>
      </c>
      <c r="L3" s="61">
        <v>2010</v>
      </c>
      <c r="M3" s="61">
        <v>2010</v>
      </c>
      <c r="N3" s="61">
        <v>2010</v>
      </c>
      <c r="O3" s="61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62" t="s">
        <v>0</v>
      </c>
      <c r="D4" s="62" t="s">
        <v>1</v>
      </c>
      <c r="E4" s="62" t="s">
        <v>2</v>
      </c>
      <c r="F4" s="62" t="s">
        <v>3</v>
      </c>
      <c r="G4" s="62" t="s">
        <v>4</v>
      </c>
      <c r="H4" s="62" t="s">
        <v>5</v>
      </c>
      <c r="I4" s="62" t="s">
        <v>6</v>
      </c>
      <c r="J4" s="62" t="s">
        <v>7</v>
      </c>
      <c r="K4" s="62" t="s">
        <v>8</v>
      </c>
      <c r="L4" s="62" t="s">
        <v>9</v>
      </c>
      <c r="M4" s="62" t="s">
        <v>10</v>
      </c>
      <c r="N4" s="62" t="s">
        <v>11</v>
      </c>
      <c r="O4" s="62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2318886/12</f>
        <v>193240.5</v>
      </c>
      <c r="D7" s="20">
        <f t="shared" ref="D7:N7" si="0">2318886/12</f>
        <v>193240.5</v>
      </c>
      <c r="E7" s="20">
        <f t="shared" si="0"/>
        <v>193240.5</v>
      </c>
      <c r="F7" s="20">
        <f t="shared" si="0"/>
        <v>193240.5</v>
      </c>
      <c r="G7" s="20">
        <f t="shared" si="0"/>
        <v>193240.5</v>
      </c>
      <c r="H7" s="20">
        <f t="shared" si="0"/>
        <v>193240.5</v>
      </c>
      <c r="I7" s="20">
        <f t="shared" si="0"/>
        <v>193240.5</v>
      </c>
      <c r="J7" s="20">
        <f t="shared" si="0"/>
        <v>193240.5</v>
      </c>
      <c r="K7" s="20">
        <f t="shared" si="0"/>
        <v>193240.5</v>
      </c>
      <c r="L7" s="20">
        <f t="shared" si="0"/>
        <v>193240.5</v>
      </c>
      <c r="M7" s="20">
        <f t="shared" si="0"/>
        <v>193240.5</v>
      </c>
      <c r="N7" s="20">
        <f t="shared" si="0"/>
        <v>193240.5</v>
      </c>
      <c r="O7" s="48">
        <f t="shared" ref="O7:O13" si="1">SUM(C7:N7)</f>
        <v>2318886</v>
      </c>
    </row>
    <row r="8" spans="1:28">
      <c r="B8" s="5" t="s">
        <v>35</v>
      </c>
      <c r="C8" s="18">
        <f>911877/12</f>
        <v>75989.75</v>
      </c>
      <c r="D8" s="18">
        <f t="shared" ref="D8:N8" si="2">911877/12</f>
        <v>75989.75</v>
      </c>
      <c r="E8" s="18">
        <f t="shared" si="2"/>
        <v>75989.75</v>
      </c>
      <c r="F8" s="18">
        <f t="shared" si="2"/>
        <v>75989.75</v>
      </c>
      <c r="G8" s="18">
        <f t="shared" si="2"/>
        <v>75989.75</v>
      </c>
      <c r="H8" s="18">
        <f t="shared" si="2"/>
        <v>75989.75</v>
      </c>
      <c r="I8" s="18">
        <f t="shared" si="2"/>
        <v>75989.75</v>
      </c>
      <c r="J8" s="18">
        <f t="shared" si="2"/>
        <v>75989.75</v>
      </c>
      <c r="K8" s="18">
        <f t="shared" si="2"/>
        <v>75989.75</v>
      </c>
      <c r="L8" s="18">
        <f t="shared" si="2"/>
        <v>75989.75</v>
      </c>
      <c r="M8" s="18">
        <f t="shared" si="2"/>
        <v>75989.75</v>
      </c>
      <c r="N8" s="18">
        <f t="shared" si="2"/>
        <v>75989.75</v>
      </c>
      <c r="O8" s="48">
        <f t="shared" si="1"/>
        <v>911877</v>
      </c>
    </row>
    <row r="9" spans="1:28">
      <c r="B9" s="5" t="s">
        <v>36</v>
      </c>
      <c r="C9" s="18">
        <f>356001/12</f>
        <v>29666.75</v>
      </c>
      <c r="D9" s="18">
        <f t="shared" ref="D9:N9" si="3">356001/12</f>
        <v>29666.75</v>
      </c>
      <c r="E9" s="18">
        <f t="shared" si="3"/>
        <v>29666.75</v>
      </c>
      <c r="F9" s="18">
        <f t="shared" si="3"/>
        <v>29666.75</v>
      </c>
      <c r="G9" s="18">
        <f t="shared" si="3"/>
        <v>29666.75</v>
      </c>
      <c r="H9" s="18">
        <f t="shared" si="3"/>
        <v>29666.75</v>
      </c>
      <c r="I9" s="18">
        <f t="shared" si="3"/>
        <v>29666.75</v>
      </c>
      <c r="J9" s="18">
        <f t="shared" si="3"/>
        <v>29666.75</v>
      </c>
      <c r="K9" s="18">
        <f t="shared" si="3"/>
        <v>29666.75</v>
      </c>
      <c r="L9" s="18">
        <f t="shared" si="3"/>
        <v>29666.75</v>
      </c>
      <c r="M9" s="18">
        <f t="shared" si="3"/>
        <v>29666.75</v>
      </c>
      <c r="N9" s="18">
        <f t="shared" si="3"/>
        <v>29666.75</v>
      </c>
      <c r="O9" s="48">
        <f t="shared" si="1"/>
        <v>356001</v>
      </c>
    </row>
    <row r="10" spans="1:28" hidden="1">
      <c r="B10" s="5" t="s">
        <v>37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48">
        <f t="shared" si="1"/>
        <v>0</v>
      </c>
    </row>
    <row r="11" spans="1:28" hidden="1">
      <c r="B11" s="5" t="s">
        <v>38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48">
        <f t="shared" si="1"/>
        <v>0</v>
      </c>
    </row>
    <row r="12" spans="1:28" hidden="1">
      <c r="B12" s="5" t="s">
        <v>39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48">
        <f t="shared" si="1"/>
        <v>0</v>
      </c>
    </row>
    <row r="13" spans="1:28" hidden="1">
      <c r="B13" s="5" t="s">
        <v>40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48">
        <f t="shared" si="1"/>
        <v>0</v>
      </c>
    </row>
    <row r="14" spans="1:28">
      <c r="A14" t="s">
        <v>22</v>
      </c>
      <c r="B14" s="9" t="s">
        <v>41</v>
      </c>
      <c r="C14" s="19">
        <f>SUM(C7:C13)</f>
        <v>298897</v>
      </c>
      <c r="D14" s="19">
        <f t="shared" ref="D14:N14" si="4">SUM(D7:D13)</f>
        <v>298897</v>
      </c>
      <c r="E14" s="19">
        <f t="shared" si="4"/>
        <v>298897</v>
      </c>
      <c r="F14" s="19">
        <f t="shared" si="4"/>
        <v>298897</v>
      </c>
      <c r="G14" s="19">
        <f t="shared" si="4"/>
        <v>298897</v>
      </c>
      <c r="H14" s="19">
        <f t="shared" si="4"/>
        <v>298897</v>
      </c>
      <c r="I14" s="19">
        <f t="shared" si="4"/>
        <v>298897</v>
      </c>
      <c r="J14" s="19">
        <f t="shared" si="4"/>
        <v>298897</v>
      </c>
      <c r="K14" s="19">
        <f t="shared" si="4"/>
        <v>298897</v>
      </c>
      <c r="L14" s="19">
        <f t="shared" si="4"/>
        <v>298897</v>
      </c>
      <c r="M14" s="19">
        <f t="shared" si="4"/>
        <v>298897</v>
      </c>
      <c r="N14" s="19">
        <f t="shared" si="4"/>
        <v>298897</v>
      </c>
      <c r="O14" s="49">
        <f>SUM(O7:O13)</f>
        <v>3586764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48"/>
    </row>
    <row r="16" spans="1:28">
      <c r="B16" s="9" t="s">
        <v>88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48"/>
    </row>
    <row r="17" spans="1:15">
      <c r="B17" s="5" t="s">
        <v>34</v>
      </c>
      <c r="C17" s="20">
        <f>1718/12</f>
        <v>143.16666666666666</v>
      </c>
      <c r="D17" s="20">
        <f>1718/12</f>
        <v>143.16666666666666</v>
      </c>
      <c r="E17" s="20">
        <f t="shared" ref="E17:N17" si="5">1718/12</f>
        <v>143.16666666666666</v>
      </c>
      <c r="F17" s="20">
        <f t="shared" si="5"/>
        <v>143.16666666666666</v>
      </c>
      <c r="G17" s="20">
        <f t="shared" si="5"/>
        <v>143.16666666666666</v>
      </c>
      <c r="H17" s="20">
        <f t="shared" si="5"/>
        <v>143.16666666666666</v>
      </c>
      <c r="I17" s="20">
        <f t="shared" si="5"/>
        <v>143.16666666666666</v>
      </c>
      <c r="J17" s="20">
        <f t="shared" si="5"/>
        <v>143.16666666666666</v>
      </c>
      <c r="K17" s="20">
        <f t="shared" si="5"/>
        <v>143.16666666666666</v>
      </c>
      <c r="L17" s="20">
        <f t="shared" si="5"/>
        <v>143.16666666666666</v>
      </c>
      <c r="M17" s="20">
        <f t="shared" si="5"/>
        <v>143.16666666666666</v>
      </c>
      <c r="N17" s="20">
        <f t="shared" si="5"/>
        <v>143.16666666666666</v>
      </c>
      <c r="O17" s="48">
        <f t="shared" ref="O17:O23" si="6">SUM(C17:N17)</f>
        <v>1718.0000000000002</v>
      </c>
    </row>
    <row r="18" spans="1:15">
      <c r="B18" s="5" t="s">
        <v>35</v>
      </c>
      <c r="C18" s="18">
        <f>154049/12</f>
        <v>12837.416666666666</v>
      </c>
      <c r="D18" s="18">
        <f t="shared" ref="D18:N18" si="7">154049/12</f>
        <v>12837.416666666666</v>
      </c>
      <c r="E18" s="18">
        <f t="shared" si="7"/>
        <v>12837.416666666666</v>
      </c>
      <c r="F18" s="18">
        <f t="shared" si="7"/>
        <v>12837.416666666666</v>
      </c>
      <c r="G18" s="18">
        <f t="shared" si="7"/>
        <v>12837.416666666666</v>
      </c>
      <c r="H18" s="18">
        <f t="shared" si="7"/>
        <v>12837.416666666666</v>
      </c>
      <c r="I18" s="18">
        <f t="shared" si="7"/>
        <v>12837.416666666666</v>
      </c>
      <c r="J18" s="18">
        <f t="shared" si="7"/>
        <v>12837.416666666666</v>
      </c>
      <c r="K18" s="18">
        <f t="shared" si="7"/>
        <v>12837.416666666666</v>
      </c>
      <c r="L18" s="18">
        <f t="shared" si="7"/>
        <v>12837.416666666666</v>
      </c>
      <c r="M18" s="18">
        <f t="shared" si="7"/>
        <v>12837.416666666666</v>
      </c>
      <c r="N18" s="18">
        <f t="shared" si="7"/>
        <v>12837.416666666666</v>
      </c>
      <c r="O18" s="48">
        <f t="shared" si="6"/>
        <v>154049</v>
      </c>
    </row>
    <row r="19" spans="1:15" hidden="1">
      <c r="B19" s="5" t="s">
        <v>36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48">
        <f t="shared" si="6"/>
        <v>0</v>
      </c>
    </row>
    <row r="20" spans="1:15">
      <c r="B20" s="5" t="s">
        <v>37</v>
      </c>
      <c r="C20" s="18">
        <f>5000/12</f>
        <v>416.66666666666669</v>
      </c>
      <c r="D20" s="18">
        <f t="shared" ref="D20:N20" si="8">5000/12</f>
        <v>416.66666666666669</v>
      </c>
      <c r="E20" s="18">
        <f t="shared" si="8"/>
        <v>416.66666666666669</v>
      </c>
      <c r="F20" s="18">
        <f t="shared" si="8"/>
        <v>416.66666666666669</v>
      </c>
      <c r="G20" s="18">
        <f t="shared" si="8"/>
        <v>416.66666666666669</v>
      </c>
      <c r="H20" s="18">
        <f t="shared" si="8"/>
        <v>416.66666666666669</v>
      </c>
      <c r="I20" s="18">
        <f t="shared" si="8"/>
        <v>416.66666666666669</v>
      </c>
      <c r="J20" s="18">
        <f t="shared" si="8"/>
        <v>416.66666666666669</v>
      </c>
      <c r="K20" s="18">
        <f t="shared" si="8"/>
        <v>416.66666666666669</v>
      </c>
      <c r="L20" s="18">
        <f t="shared" si="8"/>
        <v>416.66666666666669</v>
      </c>
      <c r="M20" s="18">
        <f t="shared" si="8"/>
        <v>416.66666666666669</v>
      </c>
      <c r="N20" s="18">
        <f t="shared" si="8"/>
        <v>416.66666666666669</v>
      </c>
      <c r="O20" s="48">
        <f t="shared" si="6"/>
        <v>5000</v>
      </c>
    </row>
    <row r="21" spans="1:15" hidden="1">
      <c r="B21" s="5" t="s">
        <v>38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48">
        <f t="shared" si="6"/>
        <v>0</v>
      </c>
    </row>
    <row r="22" spans="1:15">
      <c r="B22" s="5" t="s">
        <v>39</v>
      </c>
      <c r="C22" s="18">
        <f>700349/12</f>
        <v>58362.416666666664</v>
      </c>
      <c r="D22" s="18">
        <f t="shared" ref="D22:N22" si="9">700349/12</f>
        <v>58362.416666666664</v>
      </c>
      <c r="E22" s="18">
        <f t="shared" si="9"/>
        <v>58362.416666666664</v>
      </c>
      <c r="F22" s="18">
        <f t="shared" si="9"/>
        <v>58362.416666666664</v>
      </c>
      <c r="G22" s="18">
        <f t="shared" si="9"/>
        <v>58362.416666666664</v>
      </c>
      <c r="H22" s="18">
        <f t="shared" si="9"/>
        <v>58362.416666666664</v>
      </c>
      <c r="I22" s="18">
        <f t="shared" si="9"/>
        <v>58362.416666666664</v>
      </c>
      <c r="J22" s="18">
        <f t="shared" si="9"/>
        <v>58362.416666666664</v>
      </c>
      <c r="K22" s="18">
        <f t="shared" si="9"/>
        <v>58362.416666666664</v>
      </c>
      <c r="L22" s="18">
        <f t="shared" si="9"/>
        <v>58362.416666666664</v>
      </c>
      <c r="M22" s="18">
        <f t="shared" si="9"/>
        <v>58362.416666666664</v>
      </c>
      <c r="N22" s="18">
        <f t="shared" si="9"/>
        <v>58362.416666666664</v>
      </c>
      <c r="O22" s="48">
        <f t="shared" si="6"/>
        <v>700348.99999999988</v>
      </c>
    </row>
    <row r="23" spans="1:15">
      <c r="B23" s="5" t="s">
        <v>40</v>
      </c>
      <c r="C23" s="18">
        <f>446205/12</f>
        <v>37183.75</v>
      </c>
      <c r="D23" s="18">
        <f t="shared" ref="D23:N23" si="10">446205/12</f>
        <v>37183.75</v>
      </c>
      <c r="E23" s="18">
        <f t="shared" si="10"/>
        <v>37183.75</v>
      </c>
      <c r="F23" s="18">
        <f t="shared" si="10"/>
        <v>37183.75</v>
      </c>
      <c r="G23" s="18">
        <f t="shared" si="10"/>
        <v>37183.75</v>
      </c>
      <c r="H23" s="18">
        <f t="shared" si="10"/>
        <v>37183.75</v>
      </c>
      <c r="I23" s="18">
        <f t="shared" si="10"/>
        <v>37183.75</v>
      </c>
      <c r="J23" s="18">
        <f t="shared" si="10"/>
        <v>37183.75</v>
      </c>
      <c r="K23" s="18">
        <f t="shared" si="10"/>
        <v>37183.75</v>
      </c>
      <c r="L23" s="18">
        <f t="shared" si="10"/>
        <v>37183.75</v>
      </c>
      <c r="M23" s="18">
        <f t="shared" si="10"/>
        <v>37183.75</v>
      </c>
      <c r="N23" s="18">
        <f t="shared" si="10"/>
        <v>37183.75</v>
      </c>
      <c r="O23" s="48">
        <f t="shared" si="6"/>
        <v>446205</v>
      </c>
    </row>
    <row r="24" spans="1:15">
      <c r="A24" t="s">
        <v>21</v>
      </c>
      <c r="B24" s="9" t="s">
        <v>49</v>
      </c>
      <c r="C24" s="19">
        <f t="shared" ref="C24:N24" si="11">SUM(C17:C23)</f>
        <v>108943.41666666666</v>
      </c>
      <c r="D24" s="19">
        <f t="shared" si="11"/>
        <v>108943.41666666666</v>
      </c>
      <c r="E24" s="19">
        <f t="shared" si="11"/>
        <v>108943.41666666666</v>
      </c>
      <c r="F24" s="19">
        <f t="shared" si="11"/>
        <v>108943.41666666666</v>
      </c>
      <c r="G24" s="19">
        <f t="shared" si="11"/>
        <v>108943.41666666666</v>
      </c>
      <c r="H24" s="19">
        <f t="shared" si="11"/>
        <v>108943.41666666666</v>
      </c>
      <c r="I24" s="19">
        <f t="shared" si="11"/>
        <v>108943.41666666666</v>
      </c>
      <c r="J24" s="19">
        <f t="shared" si="11"/>
        <v>108943.41666666666</v>
      </c>
      <c r="K24" s="19">
        <f t="shared" si="11"/>
        <v>108943.41666666666</v>
      </c>
      <c r="L24" s="19">
        <f t="shared" si="11"/>
        <v>108943.41666666666</v>
      </c>
      <c r="M24" s="19">
        <f t="shared" si="11"/>
        <v>108943.41666666666</v>
      </c>
      <c r="N24" s="19">
        <f t="shared" si="11"/>
        <v>108943.41666666666</v>
      </c>
      <c r="O24" s="49">
        <f>SUM(O17:O23)</f>
        <v>1307321</v>
      </c>
    </row>
    <row r="25" spans="1:15" ht="16.149999999999999" customHeight="1">
      <c r="B25" s="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48"/>
    </row>
    <row r="26" spans="1:15">
      <c r="B26" s="9" t="s">
        <v>89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48"/>
    </row>
    <row r="27" spans="1:15">
      <c r="B27" s="5" t="s">
        <v>34</v>
      </c>
      <c r="C27" s="18">
        <f>322533/12</f>
        <v>26877.75</v>
      </c>
      <c r="D27" s="18">
        <f t="shared" ref="D27:N27" si="12">322533/12</f>
        <v>26877.75</v>
      </c>
      <c r="E27" s="18">
        <f t="shared" si="12"/>
        <v>26877.75</v>
      </c>
      <c r="F27" s="18">
        <f t="shared" si="12"/>
        <v>26877.75</v>
      </c>
      <c r="G27" s="18">
        <f t="shared" si="12"/>
        <v>26877.75</v>
      </c>
      <c r="H27" s="18">
        <f t="shared" si="12"/>
        <v>26877.75</v>
      </c>
      <c r="I27" s="18">
        <f t="shared" si="12"/>
        <v>26877.75</v>
      </c>
      <c r="J27" s="18">
        <f t="shared" si="12"/>
        <v>26877.75</v>
      </c>
      <c r="K27" s="18">
        <f t="shared" si="12"/>
        <v>26877.75</v>
      </c>
      <c r="L27" s="18">
        <f t="shared" si="12"/>
        <v>26877.75</v>
      </c>
      <c r="M27" s="18">
        <f t="shared" si="12"/>
        <v>26877.75</v>
      </c>
      <c r="N27" s="18">
        <f t="shared" si="12"/>
        <v>26877.75</v>
      </c>
      <c r="O27" s="48">
        <f t="shared" ref="O27:O33" si="13">SUM(C27:N27)</f>
        <v>322533</v>
      </c>
    </row>
    <row r="28" spans="1:15">
      <c r="B28" s="5" t="s">
        <v>35</v>
      </c>
      <c r="C28" s="18">
        <f t="shared" ref="C28:M28" si="14">89584/12</f>
        <v>7465.333333333333</v>
      </c>
      <c r="D28" s="18">
        <f t="shared" si="14"/>
        <v>7465.333333333333</v>
      </c>
      <c r="E28" s="18">
        <f t="shared" si="14"/>
        <v>7465.333333333333</v>
      </c>
      <c r="F28" s="18">
        <f t="shared" si="14"/>
        <v>7465.333333333333</v>
      </c>
      <c r="G28" s="18">
        <f t="shared" si="14"/>
        <v>7465.333333333333</v>
      </c>
      <c r="H28" s="18">
        <f t="shared" si="14"/>
        <v>7465.333333333333</v>
      </c>
      <c r="I28" s="18">
        <f t="shared" si="14"/>
        <v>7465.333333333333</v>
      </c>
      <c r="J28" s="18">
        <f t="shared" si="14"/>
        <v>7465.333333333333</v>
      </c>
      <c r="K28" s="18">
        <f t="shared" si="14"/>
        <v>7465.333333333333</v>
      </c>
      <c r="L28" s="18">
        <f t="shared" si="14"/>
        <v>7465.333333333333</v>
      </c>
      <c r="M28" s="18">
        <f t="shared" si="14"/>
        <v>7465.333333333333</v>
      </c>
      <c r="N28" s="18">
        <f>89584/12</f>
        <v>7465.333333333333</v>
      </c>
      <c r="O28" s="48">
        <f t="shared" si="13"/>
        <v>89583.999999999985</v>
      </c>
    </row>
    <row r="29" spans="1:15">
      <c r="B29" s="5" t="s">
        <v>36</v>
      </c>
      <c r="C29" s="18">
        <f>15802/12</f>
        <v>1316.8333333333333</v>
      </c>
      <c r="D29" s="18">
        <f t="shared" ref="D29:N29" si="15">15802/12</f>
        <v>1316.8333333333333</v>
      </c>
      <c r="E29" s="18">
        <f t="shared" si="15"/>
        <v>1316.8333333333333</v>
      </c>
      <c r="F29" s="18">
        <f t="shared" si="15"/>
        <v>1316.8333333333333</v>
      </c>
      <c r="G29" s="18">
        <f t="shared" si="15"/>
        <v>1316.8333333333333</v>
      </c>
      <c r="H29" s="18">
        <f t="shared" si="15"/>
        <v>1316.8333333333333</v>
      </c>
      <c r="I29" s="18">
        <f t="shared" si="15"/>
        <v>1316.8333333333333</v>
      </c>
      <c r="J29" s="18">
        <f t="shared" si="15"/>
        <v>1316.8333333333333</v>
      </c>
      <c r="K29" s="18">
        <f t="shared" si="15"/>
        <v>1316.8333333333333</v>
      </c>
      <c r="L29" s="18">
        <f t="shared" si="15"/>
        <v>1316.8333333333333</v>
      </c>
      <c r="M29" s="18">
        <f t="shared" si="15"/>
        <v>1316.8333333333333</v>
      </c>
      <c r="N29" s="18">
        <f t="shared" si="15"/>
        <v>1316.8333333333333</v>
      </c>
      <c r="O29" s="48">
        <f t="shared" si="13"/>
        <v>15802.000000000002</v>
      </c>
    </row>
    <row r="30" spans="1:15" hidden="1">
      <c r="B30" s="5" t="s">
        <v>37</v>
      </c>
      <c r="O30" s="48">
        <f t="shared" si="13"/>
        <v>0</v>
      </c>
    </row>
    <row r="31" spans="1:15" hidden="1">
      <c r="B31" s="5" t="s">
        <v>38</v>
      </c>
      <c r="O31" s="48">
        <f t="shared" si="13"/>
        <v>0</v>
      </c>
    </row>
    <row r="32" spans="1:15" hidden="1">
      <c r="B32" s="5" t="s">
        <v>39</v>
      </c>
      <c r="O32" s="48">
        <f t="shared" si="13"/>
        <v>0</v>
      </c>
    </row>
    <row r="33" spans="1:16">
      <c r="B33" s="5" t="s">
        <v>40</v>
      </c>
      <c r="C33" s="18">
        <f>252774/12</f>
        <v>21064.5</v>
      </c>
      <c r="D33" s="18">
        <f t="shared" ref="D33:N33" si="16">252774/12</f>
        <v>21064.5</v>
      </c>
      <c r="E33" s="18">
        <f t="shared" si="16"/>
        <v>21064.5</v>
      </c>
      <c r="F33" s="18">
        <f t="shared" si="16"/>
        <v>21064.5</v>
      </c>
      <c r="G33" s="18">
        <f t="shared" si="16"/>
        <v>21064.5</v>
      </c>
      <c r="H33" s="18">
        <f t="shared" si="16"/>
        <v>21064.5</v>
      </c>
      <c r="I33" s="18">
        <f t="shared" si="16"/>
        <v>21064.5</v>
      </c>
      <c r="J33" s="18">
        <f t="shared" si="16"/>
        <v>21064.5</v>
      </c>
      <c r="K33" s="18">
        <f t="shared" si="16"/>
        <v>21064.5</v>
      </c>
      <c r="L33" s="18">
        <f t="shared" si="16"/>
        <v>21064.5</v>
      </c>
      <c r="M33" s="18">
        <f t="shared" si="16"/>
        <v>21064.5</v>
      </c>
      <c r="N33" s="18">
        <f t="shared" si="16"/>
        <v>21064.5</v>
      </c>
      <c r="O33" s="48">
        <f t="shared" si="13"/>
        <v>252774</v>
      </c>
    </row>
    <row r="34" spans="1:16">
      <c r="A34" t="s">
        <v>20</v>
      </c>
      <c r="B34" s="9" t="s">
        <v>48</v>
      </c>
      <c r="C34" s="19">
        <f t="shared" ref="C34:O34" si="17">SUM(C27:C33)</f>
        <v>56724.416666666672</v>
      </c>
      <c r="D34" s="19">
        <f t="shared" si="17"/>
        <v>56724.416666666672</v>
      </c>
      <c r="E34" s="19">
        <f t="shared" si="17"/>
        <v>56724.416666666672</v>
      </c>
      <c r="F34" s="19">
        <f t="shared" si="17"/>
        <v>56724.416666666672</v>
      </c>
      <c r="G34" s="19">
        <f t="shared" si="17"/>
        <v>56724.416666666672</v>
      </c>
      <c r="H34" s="19">
        <f t="shared" si="17"/>
        <v>56724.416666666672</v>
      </c>
      <c r="I34" s="19">
        <f t="shared" si="17"/>
        <v>56724.416666666672</v>
      </c>
      <c r="J34" s="19">
        <f t="shared" si="17"/>
        <v>56724.416666666672</v>
      </c>
      <c r="K34" s="19">
        <f t="shared" si="17"/>
        <v>56724.416666666672</v>
      </c>
      <c r="L34" s="19">
        <f t="shared" si="17"/>
        <v>56724.416666666672</v>
      </c>
      <c r="M34" s="19">
        <f t="shared" si="17"/>
        <v>56724.416666666672</v>
      </c>
      <c r="N34" s="19">
        <f t="shared" si="17"/>
        <v>56724.416666666672</v>
      </c>
      <c r="O34" s="49">
        <f t="shared" si="17"/>
        <v>680693</v>
      </c>
    </row>
    <row r="35" spans="1:16">
      <c r="B35" s="9"/>
      <c r="O35" s="50"/>
    </row>
    <row r="36" spans="1:16" ht="15.75" thickBot="1">
      <c r="A36" t="s">
        <v>99</v>
      </c>
      <c r="B36" s="9" t="s">
        <v>90</v>
      </c>
      <c r="C36" s="21">
        <f>C34+C24+C14</f>
        <v>464564.83333333331</v>
      </c>
      <c r="D36" s="21">
        <f t="shared" ref="D36:O36" si="18">D34+D24+D14</f>
        <v>464564.83333333331</v>
      </c>
      <c r="E36" s="21">
        <f t="shared" si="18"/>
        <v>464564.83333333331</v>
      </c>
      <c r="F36" s="21">
        <f t="shared" si="18"/>
        <v>464564.83333333331</v>
      </c>
      <c r="G36" s="21">
        <f t="shared" si="18"/>
        <v>464564.83333333331</v>
      </c>
      <c r="H36" s="21">
        <f t="shared" si="18"/>
        <v>464564.83333333331</v>
      </c>
      <c r="I36" s="21">
        <f t="shared" si="18"/>
        <v>464564.83333333331</v>
      </c>
      <c r="J36" s="21">
        <f t="shared" si="18"/>
        <v>464564.83333333331</v>
      </c>
      <c r="K36" s="21">
        <f t="shared" si="18"/>
        <v>464564.83333333331</v>
      </c>
      <c r="L36" s="21">
        <f t="shared" si="18"/>
        <v>464564.83333333331</v>
      </c>
      <c r="M36" s="21">
        <f t="shared" si="18"/>
        <v>464564.83333333331</v>
      </c>
      <c r="N36" s="21">
        <f t="shared" si="18"/>
        <v>464564.83333333331</v>
      </c>
      <c r="O36" s="51">
        <f t="shared" si="18"/>
        <v>5574778</v>
      </c>
    </row>
    <row r="37" spans="1:16" ht="15.75" thickTop="1">
      <c r="B37" s="9"/>
      <c r="O37" s="50"/>
    </row>
    <row r="38" spans="1:16">
      <c r="B38" s="10" t="s">
        <v>91</v>
      </c>
      <c r="O38" s="50"/>
    </row>
    <row r="39" spans="1:16">
      <c r="B39" s="6" t="s">
        <v>34</v>
      </c>
      <c r="C39" s="18">
        <v>555178.04</v>
      </c>
      <c r="D39" s="18">
        <v>106263</v>
      </c>
      <c r="E39" s="18">
        <v>116622.1</v>
      </c>
      <c r="F39" s="18"/>
      <c r="G39" s="18"/>
      <c r="H39" s="18"/>
      <c r="I39" s="18"/>
      <c r="J39" s="18"/>
      <c r="K39" s="18"/>
      <c r="L39" s="18"/>
      <c r="M39" s="18"/>
      <c r="N39" s="18"/>
      <c r="O39" s="48">
        <f t="shared" ref="O39:O45" si="19">SUM(C39:N39)</f>
        <v>778063.14</v>
      </c>
      <c r="P39" s="16">
        <f t="shared" ref="P39:P45" si="20">SUM(D39:O39)</f>
        <v>1000948.24</v>
      </c>
    </row>
    <row r="40" spans="1:16">
      <c r="B40" s="6" t="s">
        <v>35</v>
      </c>
      <c r="C40" s="18">
        <v>107608.58</v>
      </c>
      <c r="D40" s="18">
        <v>85453.32</v>
      </c>
      <c r="E40" s="18">
        <v>96183.8</v>
      </c>
      <c r="F40" s="18"/>
      <c r="G40" s="18"/>
      <c r="H40" s="18"/>
      <c r="I40" s="18"/>
      <c r="J40" s="18"/>
      <c r="K40" s="18"/>
      <c r="L40" s="18"/>
      <c r="M40" s="18"/>
      <c r="N40" s="18"/>
      <c r="O40" s="48">
        <f t="shared" si="19"/>
        <v>289245.7</v>
      </c>
      <c r="P40" s="16">
        <f t="shared" si="20"/>
        <v>470882.82</v>
      </c>
    </row>
    <row r="41" spans="1:16">
      <c r="B41" s="6" t="s">
        <v>36</v>
      </c>
      <c r="C41" s="18"/>
      <c r="D41" s="18">
        <v>618.53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48">
        <f t="shared" si="19"/>
        <v>618.53</v>
      </c>
      <c r="P41" s="16">
        <f t="shared" si="20"/>
        <v>1237.06</v>
      </c>
    </row>
    <row r="42" spans="1:16" hidden="1">
      <c r="B42" s="6" t="s">
        <v>37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48">
        <f t="shared" si="19"/>
        <v>0</v>
      </c>
      <c r="P42" s="16">
        <f t="shared" si="20"/>
        <v>0</v>
      </c>
    </row>
    <row r="43" spans="1:16" hidden="1">
      <c r="B43" s="6" t="s">
        <v>38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48">
        <f t="shared" si="19"/>
        <v>0</v>
      </c>
      <c r="P43" s="16">
        <f t="shared" si="20"/>
        <v>0</v>
      </c>
    </row>
    <row r="44" spans="1:16" hidden="1">
      <c r="B44" s="6" t="s">
        <v>39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48">
        <f t="shared" si="19"/>
        <v>0</v>
      </c>
      <c r="P44" s="16">
        <f t="shared" si="20"/>
        <v>0</v>
      </c>
    </row>
    <row r="45" spans="1:16" hidden="1">
      <c r="B45" s="6" t="s">
        <v>40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48">
        <f t="shared" si="19"/>
        <v>0</v>
      </c>
      <c r="P45" s="16">
        <f t="shared" si="20"/>
        <v>0</v>
      </c>
    </row>
    <row r="46" spans="1:16">
      <c r="A46" t="s">
        <v>24</v>
      </c>
      <c r="B46" s="10" t="s">
        <v>42</v>
      </c>
      <c r="C46" s="19">
        <f>SUM(C39:C45)</f>
        <v>662786.62</v>
      </c>
      <c r="D46" s="19">
        <f t="shared" ref="D46:N46" si="21">SUM(D39:D45)</f>
        <v>192334.85</v>
      </c>
      <c r="E46" s="19">
        <f t="shared" si="21"/>
        <v>212805.90000000002</v>
      </c>
      <c r="F46" s="19">
        <f t="shared" si="21"/>
        <v>0</v>
      </c>
      <c r="G46" s="19">
        <f t="shared" si="21"/>
        <v>0</v>
      </c>
      <c r="H46" s="19">
        <f t="shared" si="21"/>
        <v>0</v>
      </c>
      <c r="I46" s="19">
        <f t="shared" si="21"/>
        <v>0</v>
      </c>
      <c r="J46" s="19">
        <f t="shared" si="21"/>
        <v>0</v>
      </c>
      <c r="K46" s="19">
        <f t="shared" si="21"/>
        <v>0</v>
      </c>
      <c r="L46" s="19">
        <f t="shared" si="21"/>
        <v>0</v>
      </c>
      <c r="M46" s="19">
        <f t="shared" si="21"/>
        <v>0</v>
      </c>
      <c r="N46" s="19">
        <f t="shared" si="21"/>
        <v>0</v>
      </c>
      <c r="O46" s="49">
        <f t="shared" ref="O46" si="22">SUM(O39:O45)</f>
        <v>1067927.3700000001</v>
      </c>
      <c r="P46" s="19">
        <f>SUM(P39:P45)</f>
        <v>1473068.12</v>
      </c>
    </row>
    <row r="47" spans="1:16"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52"/>
      <c r="P47" s="18"/>
    </row>
    <row r="48" spans="1:16">
      <c r="B48" s="10" t="s">
        <v>92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48"/>
      <c r="P48" s="18"/>
    </row>
    <row r="49" spans="1:16">
      <c r="B49" s="6" t="s">
        <v>34</v>
      </c>
      <c r="C49" s="18">
        <v>61577.1</v>
      </c>
      <c r="D49" s="18">
        <v>11059.97</v>
      </c>
      <c r="E49" s="18">
        <v>77226.27</v>
      </c>
      <c r="F49" s="18"/>
      <c r="G49" s="18"/>
      <c r="H49" s="18"/>
      <c r="I49" s="18"/>
      <c r="J49" s="18"/>
      <c r="K49" s="18"/>
      <c r="L49" s="18"/>
      <c r="M49" s="18"/>
      <c r="N49" s="18"/>
      <c r="O49" s="48">
        <f t="shared" ref="O49:O55" si="23">SUM(C49:N49)</f>
        <v>149863.34</v>
      </c>
      <c r="P49" s="16">
        <f t="shared" ref="P49:P55" si="24">SUM(D49:O49)</f>
        <v>238149.58000000002</v>
      </c>
    </row>
    <row r="50" spans="1:16">
      <c r="B50" s="6" t="s">
        <v>35</v>
      </c>
      <c r="C50" s="18">
        <v>36262.93</v>
      </c>
      <c r="D50" s="18">
        <v>21820.91</v>
      </c>
      <c r="E50" s="18">
        <v>30424.26</v>
      </c>
      <c r="F50" s="18"/>
      <c r="G50" s="18"/>
      <c r="H50" s="18"/>
      <c r="I50" s="18"/>
      <c r="J50" s="18"/>
      <c r="K50" s="18"/>
      <c r="L50" s="18"/>
      <c r="M50" s="18"/>
      <c r="N50" s="18"/>
      <c r="O50" s="48">
        <f t="shared" si="23"/>
        <v>88508.099999999991</v>
      </c>
      <c r="P50" s="16">
        <f t="shared" si="24"/>
        <v>140753.26999999999</v>
      </c>
    </row>
    <row r="51" spans="1:16">
      <c r="B51" s="6" t="s">
        <v>36</v>
      </c>
      <c r="C51" s="18">
        <v>3035.47</v>
      </c>
      <c r="D51" s="18">
        <v>1067.99</v>
      </c>
      <c r="E51" s="18">
        <v>1001.12</v>
      </c>
      <c r="F51" s="18"/>
      <c r="G51" s="18"/>
      <c r="H51" s="18"/>
      <c r="I51" s="18"/>
      <c r="J51" s="18"/>
      <c r="K51" s="18"/>
      <c r="L51" s="18"/>
      <c r="M51" s="18"/>
      <c r="N51" s="18"/>
      <c r="O51" s="48">
        <f t="shared" si="23"/>
        <v>5104.58</v>
      </c>
      <c r="P51" s="16">
        <f t="shared" si="24"/>
        <v>7173.6900000000005</v>
      </c>
    </row>
    <row r="52" spans="1:16">
      <c r="B52" s="6" t="s">
        <v>37</v>
      </c>
      <c r="C52" s="18">
        <v>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48">
        <f t="shared" si="23"/>
        <v>0</v>
      </c>
      <c r="P52" s="16">
        <f t="shared" si="24"/>
        <v>0</v>
      </c>
    </row>
    <row r="53" spans="1:16">
      <c r="B53" s="6" t="s">
        <v>38</v>
      </c>
      <c r="C53" s="18">
        <v>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48">
        <f t="shared" si="23"/>
        <v>0</v>
      </c>
      <c r="P53" s="16">
        <f t="shared" si="24"/>
        <v>0</v>
      </c>
    </row>
    <row r="54" spans="1:16">
      <c r="B54" s="6" t="s">
        <v>39</v>
      </c>
      <c r="C54" s="18">
        <v>248.19</v>
      </c>
      <c r="D54" s="18">
        <v>271.02999999999997</v>
      </c>
      <c r="E54" s="18">
        <v>129336.5</v>
      </c>
      <c r="F54" s="18"/>
      <c r="G54" s="18"/>
      <c r="H54" s="18"/>
      <c r="I54" s="18"/>
      <c r="J54" s="18"/>
      <c r="K54" s="18"/>
      <c r="L54" s="18"/>
      <c r="M54" s="18"/>
      <c r="N54" s="18"/>
      <c r="O54" s="48">
        <f t="shared" si="23"/>
        <v>129855.72</v>
      </c>
      <c r="P54" s="16">
        <f t="shared" si="24"/>
        <v>259463.25</v>
      </c>
    </row>
    <row r="55" spans="1:16">
      <c r="B55" s="6" t="s">
        <v>40</v>
      </c>
      <c r="C55" s="18">
        <v>42019.11</v>
      </c>
      <c r="D55" s="18">
        <v>44141.46</v>
      </c>
      <c r="E55" s="18">
        <v>54258.04</v>
      </c>
      <c r="F55" s="18"/>
      <c r="G55" s="18"/>
      <c r="H55" s="18"/>
      <c r="I55" s="18"/>
      <c r="J55" s="18"/>
      <c r="K55" s="18"/>
      <c r="L55" s="18"/>
      <c r="M55" s="18"/>
      <c r="N55" s="18"/>
      <c r="O55" s="48">
        <f t="shared" si="23"/>
        <v>140418.61000000002</v>
      </c>
      <c r="P55" s="16">
        <f t="shared" si="24"/>
        <v>238818.11000000002</v>
      </c>
    </row>
    <row r="56" spans="1:16">
      <c r="A56" t="s">
        <v>100</v>
      </c>
      <c r="B56" s="10" t="s">
        <v>93</v>
      </c>
      <c r="C56" s="19">
        <f t="shared" ref="C56:O56" si="25">SUM(C49:C55)</f>
        <v>143142.79999999999</v>
      </c>
      <c r="D56" s="19">
        <f t="shared" si="25"/>
        <v>78361.359999999986</v>
      </c>
      <c r="E56" s="19">
        <f t="shared" si="25"/>
        <v>292246.19</v>
      </c>
      <c r="F56" s="19">
        <f t="shared" si="25"/>
        <v>0</v>
      </c>
      <c r="G56" s="19">
        <f t="shared" si="25"/>
        <v>0</v>
      </c>
      <c r="H56" s="19">
        <f t="shared" si="25"/>
        <v>0</v>
      </c>
      <c r="I56" s="19">
        <f t="shared" si="25"/>
        <v>0</v>
      </c>
      <c r="J56" s="19">
        <f t="shared" si="25"/>
        <v>0</v>
      </c>
      <c r="K56" s="19">
        <f t="shared" si="25"/>
        <v>0</v>
      </c>
      <c r="L56" s="19">
        <f t="shared" si="25"/>
        <v>0</v>
      </c>
      <c r="M56" s="19">
        <f t="shared" si="25"/>
        <v>0</v>
      </c>
      <c r="N56" s="19">
        <f t="shared" si="25"/>
        <v>0</v>
      </c>
      <c r="O56" s="49">
        <f t="shared" si="25"/>
        <v>513750.35</v>
      </c>
      <c r="P56" s="19">
        <f>SUM(P49:P55)</f>
        <v>884357.9</v>
      </c>
    </row>
    <row r="57" spans="1:16"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52"/>
      <c r="P57" s="18"/>
    </row>
    <row r="58" spans="1:16">
      <c r="B58" s="10" t="s">
        <v>94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52"/>
      <c r="P58" s="18"/>
    </row>
    <row r="59" spans="1:16">
      <c r="B59" s="6" t="s">
        <v>34</v>
      </c>
      <c r="C59" s="18">
        <v>2638.43</v>
      </c>
      <c r="D59" s="18"/>
      <c r="E59" s="18">
        <v>3105.79</v>
      </c>
      <c r="F59" s="18"/>
      <c r="G59" s="18"/>
      <c r="H59" s="18"/>
      <c r="I59" s="18"/>
      <c r="J59" s="18"/>
      <c r="K59" s="18"/>
      <c r="L59" s="18"/>
      <c r="M59" s="18"/>
      <c r="N59" s="18"/>
      <c r="O59" s="48">
        <f t="shared" ref="O59:O65" si="26">SUM(C59:N59)</f>
        <v>5744.2199999999993</v>
      </c>
      <c r="P59" s="16">
        <f t="shared" ref="P59:P65" si="27">SUM(D59:O59)</f>
        <v>8850.0099999999984</v>
      </c>
    </row>
    <row r="60" spans="1:16">
      <c r="B60" s="6" t="s">
        <v>35</v>
      </c>
      <c r="C60" s="18">
        <v>2497.06</v>
      </c>
      <c r="D60" s="18"/>
      <c r="E60" s="18">
        <v>1837.79</v>
      </c>
      <c r="F60" s="18"/>
      <c r="G60" s="18"/>
      <c r="H60" s="18"/>
      <c r="I60" s="18"/>
      <c r="J60" s="18"/>
      <c r="K60" s="18"/>
      <c r="L60" s="18"/>
      <c r="M60" s="18"/>
      <c r="N60" s="18"/>
      <c r="O60" s="48">
        <f t="shared" si="26"/>
        <v>4334.8500000000004</v>
      </c>
      <c r="P60" s="16">
        <f t="shared" si="27"/>
        <v>6172.64</v>
      </c>
    </row>
    <row r="61" spans="1:16">
      <c r="B61" s="6" t="s">
        <v>36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48">
        <f t="shared" si="26"/>
        <v>0</v>
      </c>
      <c r="P61" s="16">
        <f t="shared" si="27"/>
        <v>0</v>
      </c>
    </row>
    <row r="62" spans="1:16" hidden="1">
      <c r="B62" s="6" t="s">
        <v>37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48">
        <f t="shared" si="26"/>
        <v>0</v>
      </c>
      <c r="P62" s="16">
        <f t="shared" si="27"/>
        <v>0</v>
      </c>
    </row>
    <row r="63" spans="1:16" hidden="1">
      <c r="B63" s="6" t="s">
        <v>38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48">
        <f t="shared" si="26"/>
        <v>0</v>
      </c>
      <c r="P63" s="16">
        <f t="shared" si="27"/>
        <v>0</v>
      </c>
    </row>
    <row r="64" spans="1:16">
      <c r="B64" s="6" t="s">
        <v>39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48">
        <f t="shared" si="26"/>
        <v>0</v>
      </c>
      <c r="P64" s="16">
        <f t="shared" si="27"/>
        <v>0</v>
      </c>
    </row>
    <row r="65" spans="1:16">
      <c r="B65" s="6" t="s">
        <v>40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48">
        <f t="shared" si="26"/>
        <v>0</v>
      </c>
      <c r="P65" s="16">
        <f t="shared" si="27"/>
        <v>0</v>
      </c>
    </row>
    <row r="66" spans="1:16">
      <c r="A66" t="s">
        <v>101</v>
      </c>
      <c r="B66" s="10" t="s">
        <v>43</v>
      </c>
      <c r="C66" s="19">
        <f t="shared" ref="C66:P66" si="28">SUM(C59:C65)</f>
        <v>5135.49</v>
      </c>
      <c r="D66" s="19">
        <f t="shared" si="28"/>
        <v>0</v>
      </c>
      <c r="E66" s="19">
        <f t="shared" si="28"/>
        <v>4943.58</v>
      </c>
      <c r="F66" s="19">
        <f t="shared" si="28"/>
        <v>0</v>
      </c>
      <c r="G66" s="19">
        <f t="shared" si="28"/>
        <v>0</v>
      </c>
      <c r="H66" s="19">
        <f t="shared" si="28"/>
        <v>0</v>
      </c>
      <c r="I66" s="19">
        <f t="shared" si="28"/>
        <v>0</v>
      </c>
      <c r="J66" s="19">
        <f t="shared" si="28"/>
        <v>0</v>
      </c>
      <c r="K66" s="19">
        <f t="shared" si="28"/>
        <v>0</v>
      </c>
      <c r="L66" s="19">
        <f t="shared" si="28"/>
        <v>0</v>
      </c>
      <c r="M66" s="19">
        <f t="shared" si="28"/>
        <v>0</v>
      </c>
      <c r="N66" s="19">
        <f t="shared" si="28"/>
        <v>0</v>
      </c>
      <c r="O66" s="49">
        <f t="shared" si="28"/>
        <v>10079.07</v>
      </c>
      <c r="P66" s="19">
        <f t="shared" si="28"/>
        <v>15022.649999999998</v>
      </c>
    </row>
    <row r="67" spans="1:16"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2"/>
      <c r="P67" s="18"/>
    </row>
    <row r="68" spans="1:16" ht="15.75" thickBot="1">
      <c r="A68" t="s">
        <v>102</v>
      </c>
      <c r="B68" s="10" t="s">
        <v>95</v>
      </c>
      <c r="C68" s="21">
        <f>C66+C56+C46</f>
        <v>811064.90999999992</v>
      </c>
      <c r="D68" s="21">
        <f>D66+D56+D46</f>
        <v>270696.20999999996</v>
      </c>
      <c r="E68" s="21">
        <f t="shared" ref="E68:P68" si="29">E66+E56+E46</f>
        <v>509995.67000000004</v>
      </c>
      <c r="F68" s="21">
        <f t="shared" si="29"/>
        <v>0</v>
      </c>
      <c r="G68" s="21">
        <f t="shared" si="29"/>
        <v>0</v>
      </c>
      <c r="H68" s="21">
        <f t="shared" si="29"/>
        <v>0</v>
      </c>
      <c r="I68" s="21">
        <f t="shared" si="29"/>
        <v>0</v>
      </c>
      <c r="J68" s="21">
        <f t="shared" si="29"/>
        <v>0</v>
      </c>
      <c r="K68" s="21">
        <f t="shared" si="29"/>
        <v>0</v>
      </c>
      <c r="L68" s="21">
        <f t="shared" si="29"/>
        <v>0</v>
      </c>
      <c r="M68" s="21">
        <f t="shared" si="29"/>
        <v>0</v>
      </c>
      <c r="N68" s="21">
        <f t="shared" si="29"/>
        <v>0</v>
      </c>
      <c r="O68" s="51">
        <f t="shared" si="29"/>
        <v>1591756.79</v>
      </c>
      <c r="P68" s="21">
        <f t="shared" si="29"/>
        <v>2372448.67</v>
      </c>
    </row>
    <row r="69" spans="1:16" ht="15.75" thickTop="1">
      <c r="B69" s="9"/>
      <c r="O69" s="50"/>
    </row>
    <row r="70" spans="1:16">
      <c r="B70" s="11" t="s">
        <v>44</v>
      </c>
      <c r="O70" s="50"/>
    </row>
    <row r="71" spans="1:16">
      <c r="B71" s="11" t="s">
        <v>46</v>
      </c>
      <c r="O71" s="50"/>
    </row>
    <row r="72" spans="1:16">
      <c r="B72" s="12" t="s">
        <v>34</v>
      </c>
      <c r="C72" s="31">
        <f>C7-C39</f>
        <v>-361937.54000000004</v>
      </c>
      <c r="D72" s="31">
        <f t="shared" ref="D72:E72" si="30">D7-D39</f>
        <v>86977.5</v>
      </c>
      <c r="E72" s="31">
        <f t="shared" si="30"/>
        <v>76618.399999999994</v>
      </c>
      <c r="F72" s="31"/>
      <c r="G72" s="31"/>
      <c r="H72" s="31"/>
      <c r="I72" s="31"/>
      <c r="J72" s="31"/>
      <c r="K72" s="31"/>
      <c r="L72" s="31"/>
      <c r="M72" s="31"/>
      <c r="N72" s="31"/>
      <c r="O72" s="48">
        <f t="shared" ref="O72:O78" si="31">SUM(C72:N72)</f>
        <v>-198341.64000000004</v>
      </c>
    </row>
    <row r="73" spans="1:16">
      <c r="B73" s="12" t="s">
        <v>35</v>
      </c>
      <c r="C73" s="31">
        <f t="shared" ref="C73:E79" si="32">C8-C40</f>
        <v>-31618.83</v>
      </c>
      <c r="D73" s="31">
        <f t="shared" si="32"/>
        <v>-9463.570000000007</v>
      </c>
      <c r="E73" s="31">
        <f t="shared" si="32"/>
        <v>-20194.050000000003</v>
      </c>
      <c r="F73" s="31"/>
      <c r="G73" s="31"/>
      <c r="H73" s="31"/>
      <c r="I73" s="31"/>
      <c r="J73" s="31"/>
      <c r="K73" s="31"/>
      <c r="L73" s="31"/>
      <c r="M73" s="31"/>
      <c r="N73" s="31"/>
      <c r="O73" s="48">
        <f t="shared" si="31"/>
        <v>-61276.450000000012</v>
      </c>
    </row>
    <row r="74" spans="1:16">
      <c r="B74" s="12" t="s">
        <v>36</v>
      </c>
      <c r="C74" s="31">
        <f t="shared" si="32"/>
        <v>29666.75</v>
      </c>
      <c r="D74" s="31">
        <f t="shared" si="32"/>
        <v>29048.22</v>
      </c>
      <c r="E74" s="31">
        <f t="shared" si="32"/>
        <v>29666.75</v>
      </c>
      <c r="F74" s="31"/>
      <c r="G74" s="31"/>
      <c r="H74" s="31"/>
      <c r="I74" s="31"/>
      <c r="J74" s="31"/>
      <c r="K74" s="31"/>
      <c r="L74" s="31"/>
      <c r="M74" s="31"/>
      <c r="N74" s="31"/>
      <c r="O74" s="48">
        <f t="shared" si="31"/>
        <v>88381.72</v>
      </c>
    </row>
    <row r="75" spans="1:16" hidden="1">
      <c r="B75" s="12" t="s">
        <v>37</v>
      </c>
      <c r="C75" s="31">
        <f t="shared" si="32"/>
        <v>0</v>
      </c>
      <c r="D75" s="31">
        <f t="shared" si="32"/>
        <v>0</v>
      </c>
      <c r="E75" s="31">
        <f t="shared" si="32"/>
        <v>0</v>
      </c>
      <c r="F75" s="31"/>
      <c r="G75" s="31"/>
      <c r="H75" s="31"/>
      <c r="I75" s="31"/>
      <c r="J75" s="31"/>
      <c r="K75" s="31"/>
      <c r="L75" s="31"/>
      <c r="M75" s="31"/>
      <c r="N75" s="31"/>
      <c r="O75" s="48">
        <f t="shared" si="31"/>
        <v>0</v>
      </c>
    </row>
    <row r="76" spans="1:16" hidden="1">
      <c r="B76" s="12" t="s">
        <v>38</v>
      </c>
      <c r="C76" s="31">
        <f t="shared" si="32"/>
        <v>0</v>
      </c>
      <c r="D76" s="31">
        <f t="shared" si="32"/>
        <v>0</v>
      </c>
      <c r="E76" s="31">
        <f t="shared" si="32"/>
        <v>0</v>
      </c>
      <c r="F76" s="31"/>
      <c r="G76" s="31"/>
      <c r="H76" s="31"/>
      <c r="I76" s="31"/>
      <c r="J76" s="31"/>
      <c r="K76" s="31"/>
      <c r="L76" s="31"/>
      <c r="M76" s="31"/>
      <c r="N76" s="31"/>
      <c r="O76" s="48">
        <f t="shared" si="31"/>
        <v>0</v>
      </c>
    </row>
    <row r="77" spans="1:16" hidden="1">
      <c r="B77" s="12" t="s">
        <v>39</v>
      </c>
      <c r="C77" s="31">
        <f t="shared" si="32"/>
        <v>0</v>
      </c>
      <c r="D77" s="31">
        <f t="shared" si="32"/>
        <v>0</v>
      </c>
      <c r="E77" s="31">
        <f t="shared" si="32"/>
        <v>0</v>
      </c>
      <c r="F77" s="31"/>
      <c r="G77" s="31"/>
      <c r="H77" s="31"/>
      <c r="I77" s="31"/>
      <c r="J77" s="31"/>
      <c r="K77" s="31"/>
      <c r="L77" s="31"/>
      <c r="M77" s="31"/>
      <c r="N77" s="31"/>
      <c r="O77" s="48">
        <f t="shared" si="31"/>
        <v>0</v>
      </c>
    </row>
    <row r="78" spans="1:16" hidden="1">
      <c r="B78" s="12" t="s">
        <v>40</v>
      </c>
      <c r="C78" s="31">
        <f t="shared" si="32"/>
        <v>0</v>
      </c>
      <c r="D78" s="31">
        <f t="shared" si="32"/>
        <v>0</v>
      </c>
      <c r="E78" s="31">
        <f t="shared" si="32"/>
        <v>0</v>
      </c>
      <c r="F78" s="31"/>
      <c r="G78" s="31"/>
      <c r="H78" s="31"/>
      <c r="I78" s="31"/>
      <c r="J78" s="31"/>
      <c r="K78" s="31"/>
      <c r="L78" s="31"/>
      <c r="M78" s="31"/>
      <c r="N78" s="31"/>
      <c r="O78" s="48">
        <f t="shared" si="31"/>
        <v>0</v>
      </c>
    </row>
    <row r="79" spans="1:16">
      <c r="A79" t="s">
        <v>103</v>
      </c>
      <c r="B79" s="11" t="s">
        <v>45</v>
      </c>
      <c r="C79" s="19">
        <f t="shared" si="32"/>
        <v>-363889.62</v>
      </c>
      <c r="D79" s="19">
        <f t="shared" si="32"/>
        <v>106562.15</v>
      </c>
      <c r="E79" s="19">
        <f t="shared" si="32"/>
        <v>86091.099999999977</v>
      </c>
      <c r="F79" s="19"/>
      <c r="G79" s="19"/>
      <c r="H79" s="19"/>
      <c r="I79" s="19"/>
      <c r="J79" s="19"/>
      <c r="K79" s="19"/>
      <c r="L79" s="19"/>
      <c r="M79" s="19"/>
      <c r="N79" s="19"/>
      <c r="O79" s="49">
        <f t="shared" ref="O79" si="33">SUM(O72:O78)</f>
        <v>-171236.37000000005</v>
      </c>
    </row>
    <row r="80" spans="1:16">
      <c r="B80" s="11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52"/>
    </row>
    <row r="81" spans="1:15">
      <c r="B81" s="11" t="s">
        <v>97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48"/>
    </row>
    <row r="82" spans="1:15">
      <c r="B82" s="12" t="s">
        <v>34</v>
      </c>
      <c r="C82" s="31">
        <f t="shared" ref="C82:E89" si="34">C17-C49</f>
        <v>-61433.933333333334</v>
      </c>
      <c r="D82" s="31">
        <f t="shared" si="34"/>
        <v>-10916.803333333333</v>
      </c>
      <c r="E82" s="31">
        <f t="shared" si="34"/>
        <v>-77083.103333333333</v>
      </c>
      <c r="F82" s="30"/>
      <c r="G82" s="30"/>
      <c r="H82" s="30"/>
      <c r="I82" s="30"/>
      <c r="J82" s="30"/>
      <c r="K82" s="30"/>
      <c r="L82" s="30"/>
      <c r="M82" s="30"/>
      <c r="N82" s="30"/>
      <c r="O82" s="48">
        <f t="shared" ref="O82:O88" si="35">SUM(C82:N82)</f>
        <v>-149433.84</v>
      </c>
    </row>
    <row r="83" spans="1:15">
      <c r="B83" s="12" t="s">
        <v>35</v>
      </c>
      <c r="C83" s="31">
        <f t="shared" si="34"/>
        <v>-23425.513333333336</v>
      </c>
      <c r="D83" s="31">
        <f t="shared" si="34"/>
        <v>-8983.4933333333338</v>
      </c>
      <c r="E83" s="31">
        <f t="shared" si="34"/>
        <v>-17586.843333333331</v>
      </c>
      <c r="F83" s="30"/>
      <c r="G83" s="30"/>
      <c r="H83" s="30"/>
      <c r="I83" s="30"/>
      <c r="J83" s="30"/>
      <c r="K83" s="30"/>
      <c r="L83" s="30"/>
      <c r="M83" s="30"/>
      <c r="N83" s="30"/>
      <c r="O83" s="48">
        <f t="shared" si="35"/>
        <v>-49995.85</v>
      </c>
    </row>
    <row r="84" spans="1:15" hidden="1">
      <c r="B84" s="12" t="s">
        <v>36</v>
      </c>
      <c r="C84" s="31">
        <f t="shared" si="34"/>
        <v>-3035.47</v>
      </c>
      <c r="D84" s="31">
        <f t="shared" si="34"/>
        <v>-1067.99</v>
      </c>
      <c r="E84" s="31">
        <f t="shared" si="34"/>
        <v>-1001.12</v>
      </c>
      <c r="F84" s="30"/>
      <c r="G84" s="30"/>
      <c r="H84" s="30"/>
      <c r="I84" s="30"/>
      <c r="J84" s="30"/>
      <c r="K84" s="30"/>
      <c r="L84" s="30"/>
      <c r="M84" s="30"/>
      <c r="N84" s="30"/>
      <c r="O84" s="48">
        <f t="shared" si="35"/>
        <v>-5104.58</v>
      </c>
    </row>
    <row r="85" spans="1:15" hidden="1">
      <c r="B85" s="12" t="s">
        <v>37</v>
      </c>
      <c r="C85" s="31">
        <f t="shared" si="34"/>
        <v>416.66666666666669</v>
      </c>
      <c r="D85" s="31">
        <f t="shared" si="34"/>
        <v>416.66666666666669</v>
      </c>
      <c r="E85" s="31">
        <f t="shared" si="34"/>
        <v>416.66666666666669</v>
      </c>
      <c r="F85" s="30"/>
      <c r="G85" s="30"/>
      <c r="H85" s="30"/>
      <c r="I85" s="30"/>
      <c r="J85" s="30"/>
      <c r="K85" s="30"/>
      <c r="L85" s="30"/>
      <c r="M85" s="30"/>
      <c r="N85" s="30"/>
      <c r="O85" s="48">
        <f t="shared" si="35"/>
        <v>1250</v>
      </c>
    </row>
    <row r="86" spans="1:15" hidden="1">
      <c r="B86" s="12" t="s">
        <v>38</v>
      </c>
      <c r="C86" s="31">
        <f t="shared" si="34"/>
        <v>0</v>
      </c>
      <c r="D86" s="31">
        <f t="shared" si="34"/>
        <v>0</v>
      </c>
      <c r="E86" s="31">
        <f t="shared" si="34"/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48">
        <f t="shared" si="35"/>
        <v>0</v>
      </c>
    </row>
    <row r="87" spans="1:15">
      <c r="B87" s="12" t="s">
        <v>39</v>
      </c>
      <c r="C87" s="31">
        <f t="shared" si="34"/>
        <v>58114.226666666662</v>
      </c>
      <c r="D87" s="31">
        <f t="shared" si="34"/>
        <v>58091.386666666665</v>
      </c>
      <c r="E87" s="31">
        <f t="shared" si="34"/>
        <v>-70974.083333333343</v>
      </c>
      <c r="F87" s="30"/>
      <c r="G87" s="30"/>
      <c r="H87" s="30"/>
      <c r="I87" s="30"/>
      <c r="J87" s="30"/>
      <c r="K87" s="30"/>
      <c r="L87" s="30"/>
      <c r="M87" s="30"/>
      <c r="N87" s="30"/>
      <c r="O87" s="48">
        <f t="shared" si="35"/>
        <v>45231.529999999984</v>
      </c>
    </row>
    <row r="88" spans="1:15">
      <c r="B88" s="12" t="s">
        <v>40</v>
      </c>
      <c r="C88" s="31">
        <f t="shared" si="34"/>
        <v>-4835.3600000000006</v>
      </c>
      <c r="D88" s="31">
        <f t="shared" si="34"/>
        <v>-6957.7099999999991</v>
      </c>
      <c r="E88" s="31">
        <f t="shared" si="34"/>
        <v>-17074.29</v>
      </c>
      <c r="F88" s="30"/>
      <c r="G88" s="30"/>
      <c r="H88" s="30"/>
      <c r="I88" s="30"/>
      <c r="J88" s="30"/>
      <c r="K88" s="30"/>
      <c r="L88" s="30"/>
      <c r="M88" s="30"/>
      <c r="N88" s="30"/>
      <c r="O88" s="48">
        <f t="shared" si="35"/>
        <v>-28867.360000000001</v>
      </c>
    </row>
    <row r="89" spans="1:15">
      <c r="A89" t="s">
        <v>104</v>
      </c>
      <c r="B89" s="11" t="s">
        <v>45</v>
      </c>
      <c r="C89" s="19">
        <f t="shared" si="34"/>
        <v>-34199.383333333331</v>
      </c>
      <c r="D89" s="19">
        <f t="shared" si="34"/>
        <v>30582.056666666671</v>
      </c>
      <c r="E89" s="19">
        <f t="shared" si="34"/>
        <v>-183302.77333333335</v>
      </c>
      <c r="F89" s="19"/>
      <c r="G89" s="19"/>
      <c r="H89" s="19"/>
      <c r="I89" s="19"/>
      <c r="J89" s="19"/>
      <c r="K89" s="19"/>
      <c r="L89" s="19"/>
      <c r="M89" s="19"/>
      <c r="N89" s="19"/>
      <c r="O89" s="49">
        <f t="shared" ref="O89" si="36">SUM(O82:O88)</f>
        <v>-186920.09999999998</v>
      </c>
    </row>
    <row r="90" spans="1:15">
      <c r="B90" s="11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52"/>
    </row>
    <row r="91" spans="1:15">
      <c r="B91" s="11" t="s">
        <v>98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52"/>
    </row>
    <row r="92" spans="1:15">
      <c r="B92" s="12" t="s">
        <v>34</v>
      </c>
      <c r="C92" s="31">
        <f t="shared" ref="C92:E99" si="37">C27-C59</f>
        <v>24239.32</v>
      </c>
      <c r="D92" s="31">
        <f t="shared" si="37"/>
        <v>26877.75</v>
      </c>
      <c r="E92" s="31">
        <f t="shared" si="37"/>
        <v>23771.96</v>
      </c>
      <c r="F92" s="30"/>
      <c r="G92" s="30"/>
      <c r="H92" s="30"/>
      <c r="I92" s="30"/>
      <c r="J92" s="30"/>
      <c r="K92" s="30"/>
      <c r="L92" s="30"/>
      <c r="M92" s="30"/>
      <c r="N92" s="30"/>
      <c r="O92" s="48">
        <f t="shared" ref="O92:O98" si="38">SUM(C92:N92)</f>
        <v>74889.03</v>
      </c>
    </row>
    <row r="93" spans="1:15">
      <c r="B93" s="12" t="s">
        <v>35</v>
      </c>
      <c r="C93" s="31">
        <f t="shared" si="37"/>
        <v>4968.2733333333326</v>
      </c>
      <c r="D93" s="31">
        <f t="shared" si="37"/>
        <v>7465.333333333333</v>
      </c>
      <c r="E93" s="31">
        <f t="shared" si="37"/>
        <v>5627.5433333333331</v>
      </c>
      <c r="F93" s="30"/>
      <c r="G93" s="30"/>
      <c r="H93" s="30"/>
      <c r="I93" s="30"/>
      <c r="J93" s="30"/>
      <c r="K93" s="30"/>
      <c r="L93" s="30"/>
      <c r="M93" s="30"/>
      <c r="N93" s="30"/>
      <c r="O93" s="48">
        <f t="shared" si="38"/>
        <v>18061.150000000001</v>
      </c>
    </row>
    <row r="94" spans="1:15">
      <c r="B94" s="12" t="s">
        <v>36</v>
      </c>
      <c r="C94" s="31">
        <f t="shared" si="37"/>
        <v>1316.8333333333333</v>
      </c>
      <c r="D94" s="31">
        <f t="shared" si="37"/>
        <v>1316.8333333333333</v>
      </c>
      <c r="E94" s="31">
        <f t="shared" si="37"/>
        <v>1316.8333333333333</v>
      </c>
      <c r="F94" s="30"/>
      <c r="G94" s="30"/>
      <c r="H94" s="30"/>
      <c r="I94" s="30"/>
      <c r="J94" s="30"/>
      <c r="K94" s="30"/>
      <c r="L94" s="30"/>
      <c r="M94" s="30"/>
      <c r="N94" s="30"/>
      <c r="O94" s="48">
        <f t="shared" si="38"/>
        <v>3950.5</v>
      </c>
    </row>
    <row r="95" spans="1:15" hidden="1">
      <c r="B95" s="12" t="s">
        <v>37</v>
      </c>
      <c r="C95" s="31">
        <f t="shared" si="37"/>
        <v>0</v>
      </c>
      <c r="D95" s="31">
        <f t="shared" si="37"/>
        <v>0</v>
      </c>
      <c r="E95" s="31">
        <f t="shared" si="37"/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48">
        <f t="shared" si="38"/>
        <v>0</v>
      </c>
    </row>
    <row r="96" spans="1:15" hidden="1">
      <c r="B96" s="12" t="s">
        <v>38</v>
      </c>
      <c r="C96" s="31">
        <f t="shared" si="37"/>
        <v>0</v>
      </c>
      <c r="D96" s="31">
        <f t="shared" si="37"/>
        <v>0</v>
      </c>
      <c r="E96" s="31">
        <f t="shared" si="37"/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48">
        <f t="shared" si="38"/>
        <v>0</v>
      </c>
    </row>
    <row r="97" spans="1:15" hidden="1">
      <c r="B97" s="12" t="s">
        <v>39</v>
      </c>
      <c r="C97" s="31">
        <f t="shared" si="37"/>
        <v>0</v>
      </c>
      <c r="D97" s="31">
        <f t="shared" si="37"/>
        <v>0</v>
      </c>
      <c r="E97" s="31">
        <f t="shared" si="37"/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48">
        <f t="shared" si="38"/>
        <v>0</v>
      </c>
    </row>
    <row r="98" spans="1:15">
      <c r="B98" s="12" t="s">
        <v>40</v>
      </c>
      <c r="C98" s="31">
        <f t="shared" si="37"/>
        <v>21064.5</v>
      </c>
      <c r="D98" s="31">
        <f t="shared" si="37"/>
        <v>21064.5</v>
      </c>
      <c r="E98" s="31">
        <f t="shared" si="37"/>
        <v>21064.5</v>
      </c>
      <c r="F98" s="30"/>
      <c r="G98" s="30"/>
      <c r="H98" s="30"/>
      <c r="I98" s="30"/>
      <c r="J98" s="30"/>
      <c r="K98" s="30"/>
      <c r="L98" s="30"/>
      <c r="M98" s="30"/>
      <c r="N98" s="30"/>
      <c r="O98" s="48">
        <f t="shared" si="38"/>
        <v>63193.5</v>
      </c>
    </row>
    <row r="99" spans="1:15">
      <c r="A99" t="s">
        <v>105</v>
      </c>
      <c r="B99" s="11" t="s">
        <v>45</v>
      </c>
      <c r="C99" s="19">
        <f t="shared" si="37"/>
        <v>51588.926666666674</v>
      </c>
      <c r="D99" s="19">
        <f t="shared" si="37"/>
        <v>56724.416666666672</v>
      </c>
      <c r="E99" s="19">
        <f t="shared" si="37"/>
        <v>51780.83666666667</v>
      </c>
      <c r="F99" s="19"/>
      <c r="G99" s="19"/>
      <c r="H99" s="19"/>
      <c r="I99" s="19"/>
      <c r="J99" s="19"/>
      <c r="K99" s="19"/>
      <c r="L99" s="19"/>
      <c r="M99" s="19"/>
      <c r="N99" s="19"/>
      <c r="O99" s="49">
        <f t="shared" ref="O99" si="39">SUM(O92:O98)</f>
        <v>160094.18</v>
      </c>
    </row>
    <row r="100" spans="1:15">
      <c r="B100" s="11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52"/>
    </row>
    <row r="101" spans="1:15" ht="15.75" thickBot="1">
      <c r="B101" s="11" t="s">
        <v>45</v>
      </c>
      <c r="C101" s="35">
        <f>C36-C68</f>
        <v>-346500.0766666666</v>
      </c>
      <c r="D101" s="35">
        <f t="shared" ref="D101:E101" si="40">D36-D68</f>
        <v>193868.62333333335</v>
      </c>
      <c r="E101" s="35">
        <f t="shared" si="40"/>
        <v>-45430.836666666728</v>
      </c>
      <c r="F101" s="35"/>
      <c r="G101" s="35"/>
      <c r="H101" s="35"/>
      <c r="I101" s="35"/>
      <c r="J101" s="35"/>
      <c r="K101" s="35"/>
      <c r="L101" s="35"/>
      <c r="M101" s="35"/>
      <c r="N101" s="35"/>
      <c r="O101" s="53">
        <f t="shared" ref="O101" si="41">O99+O89+O79</f>
        <v>-198062.29000000004</v>
      </c>
    </row>
    <row r="102" spans="1:15" ht="15.75" thickTop="1">
      <c r="B102" s="9"/>
    </row>
    <row r="103" spans="1:15">
      <c r="B103" s="9"/>
    </row>
    <row r="104" spans="1:15">
      <c r="B104" s="27" t="s">
        <v>58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31.5" customHeight="1">
      <c r="B105" s="73" t="s">
        <v>67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1:15" ht="31.5" customHeight="1">
      <c r="B106" s="73" t="s">
        <v>68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</row>
    <row r="108" spans="1:15">
      <c r="B108" s="58" t="s">
        <v>60</v>
      </c>
    </row>
    <row r="109" spans="1:15">
      <c r="B109" s="74" t="s">
        <v>78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</row>
    <row r="110" spans="1:15">
      <c r="B110" s="74" t="s">
        <v>79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</row>
    <row r="111" spans="1:15" ht="30.75" customHeight="1">
      <c r="B111" s="72" t="s">
        <v>80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</sheetData>
  <mergeCells count="5">
    <mergeCell ref="B105:O105"/>
    <mergeCell ref="B106:O106"/>
    <mergeCell ref="B109:O109"/>
    <mergeCell ref="B110:O110"/>
    <mergeCell ref="B111:O111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S24"/>
  <sheetViews>
    <sheetView topLeftCell="G1" zoomScaleNormal="100" workbookViewId="0">
      <selection activeCell="I14" sqref="I14"/>
    </sheetView>
  </sheetViews>
  <sheetFormatPr defaultRowHeight="15"/>
  <cols>
    <col min="1" max="1" width="3.42578125" bestFit="1" customWidth="1"/>
    <col min="2" max="2" width="34.85546875" customWidth="1"/>
    <col min="3" max="14" width="10.5703125" bestFit="1" customWidth="1"/>
    <col min="15" max="15" width="11.28515625" bestFit="1" customWidth="1"/>
    <col min="16" max="16" width="11.5703125" bestFit="1" customWidth="1"/>
    <col min="17" max="19" width="9.7109375" bestFit="1" customWidth="1"/>
  </cols>
  <sheetData>
    <row r="2" spans="1:19">
      <c r="B2" s="36" t="s">
        <v>59</v>
      </c>
    </row>
    <row r="3" spans="1:19">
      <c r="C3" s="63">
        <v>2010</v>
      </c>
      <c r="D3" s="63">
        <v>2010</v>
      </c>
      <c r="E3" s="63">
        <v>2010</v>
      </c>
      <c r="F3" s="63">
        <v>2010</v>
      </c>
      <c r="G3" s="63">
        <v>2010</v>
      </c>
      <c r="H3" s="63">
        <v>2010</v>
      </c>
      <c r="I3" s="63">
        <v>2010</v>
      </c>
      <c r="J3" s="63">
        <v>2010</v>
      </c>
      <c r="K3" s="63">
        <v>2010</v>
      </c>
      <c r="L3" s="63">
        <v>2010</v>
      </c>
      <c r="M3" s="63">
        <v>2010</v>
      </c>
      <c r="N3" s="63">
        <v>2010</v>
      </c>
      <c r="O3" s="64" t="s">
        <v>31</v>
      </c>
      <c r="P3" s="65">
        <v>2010</v>
      </c>
      <c r="Q3" s="64">
        <v>2010</v>
      </c>
      <c r="R3" s="64">
        <v>2010</v>
      </c>
      <c r="S3" s="64">
        <v>2010</v>
      </c>
    </row>
    <row r="4" spans="1:19">
      <c r="C4" s="63" t="s">
        <v>0</v>
      </c>
      <c r="D4" s="63" t="s">
        <v>1</v>
      </c>
      <c r="E4" s="63" t="s">
        <v>2</v>
      </c>
      <c r="F4" s="63" t="s">
        <v>3</v>
      </c>
      <c r="G4" s="63" t="s">
        <v>4</v>
      </c>
      <c r="H4" s="63" t="s">
        <v>5</v>
      </c>
      <c r="I4" s="63" t="s">
        <v>6</v>
      </c>
      <c r="J4" s="63" t="s">
        <v>7</v>
      </c>
      <c r="K4" s="63" t="s">
        <v>8</v>
      </c>
      <c r="L4" s="63" t="s">
        <v>9</v>
      </c>
      <c r="M4" s="63" t="s">
        <v>10</v>
      </c>
      <c r="N4" s="63" t="s">
        <v>11</v>
      </c>
      <c r="O4" s="64"/>
      <c r="P4" s="65" t="s">
        <v>69</v>
      </c>
      <c r="Q4" s="64" t="s">
        <v>70</v>
      </c>
      <c r="R4" s="64" t="s">
        <v>71</v>
      </c>
      <c r="S4" s="64" t="s">
        <v>72</v>
      </c>
    </row>
    <row r="5" spans="1:19">
      <c r="A5" t="s">
        <v>22</v>
      </c>
      <c r="B5" t="s">
        <v>13</v>
      </c>
      <c r="C5" s="1">
        <v>1626625</v>
      </c>
      <c r="D5" s="1">
        <f>C17</f>
        <v>1375429.2825873264</v>
      </c>
      <c r="E5" s="1">
        <f>D17</f>
        <v>1238274.809433915</v>
      </c>
      <c r="F5" s="1">
        <f>E17</f>
        <v>1095898.0768288989</v>
      </c>
      <c r="G5" s="1">
        <f>F17</f>
        <v>1095898.0768288989</v>
      </c>
      <c r="H5" s="1">
        <f t="shared" ref="H5:N5" si="0">G17</f>
        <v>1095898.0768288989</v>
      </c>
      <c r="I5" s="1">
        <f t="shared" si="0"/>
        <v>1095898.0768288989</v>
      </c>
      <c r="J5" s="1">
        <f t="shared" si="0"/>
        <v>1095898.0768288989</v>
      </c>
      <c r="K5" s="1">
        <f t="shared" si="0"/>
        <v>1095898.0768288989</v>
      </c>
      <c r="L5" s="1">
        <f t="shared" si="0"/>
        <v>1095898.0768288989</v>
      </c>
      <c r="M5" s="1">
        <f t="shared" si="0"/>
        <v>1095898.0768288989</v>
      </c>
      <c r="N5" s="1">
        <f t="shared" si="0"/>
        <v>1095898.0768288989</v>
      </c>
      <c r="O5" s="37"/>
      <c r="P5" s="66">
        <f>C5</f>
        <v>1626625</v>
      </c>
      <c r="Q5" s="37"/>
      <c r="R5" s="37"/>
      <c r="S5" s="37"/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7"/>
      <c r="P6" s="67"/>
      <c r="Q6" s="37"/>
      <c r="R6" s="37"/>
      <c r="S6" s="37"/>
    </row>
    <row r="7" spans="1:19">
      <c r="B7" t="s">
        <v>14</v>
      </c>
      <c r="C7" s="1">
        <v>419209.98380815692</v>
      </c>
      <c r="D7" s="1">
        <v>328614.56575911184</v>
      </c>
      <c r="E7" s="1">
        <v>276309.75673962827</v>
      </c>
      <c r="F7" s="1">
        <v>201013.99161668337</v>
      </c>
      <c r="G7" s="1">
        <v>119613.14111167201</v>
      </c>
      <c r="H7" s="1">
        <v>90527.406386947419</v>
      </c>
      <c r="I7" s="1">
        <v>66857.969033931746</v>
      </c>
      <c r="J7" s="1">
        <v>71081.86826672389</v>
      </c>
      <c r="K7" s="1">
        <v>88500.59563281991</v>
      </c>
      <c r="L7" s="1">
        <v>199049.82167356106</v>
      </c>
      <c r="M7" s="1">
        <v>324075.05224528984</v>
      </c>
      <c r="N7" s="1">
        <v>448154.452078395</v>
      </c>
      <c r="O7" s="43">
        <f>SUM(C7:N7)</f>
        <v>2633008.6043529212</v>
      </c>
      <c r="P7" s="68">
        <f>SUM(C7:E7)</f>
        <v>1024134.306306897</v>
      </c>
      <c r="Q7" s="43">
        <f>SUM(F7:H7)</f>
        <v>411154.53911530279</v>
      </c>
      <c r="R7" s="43">
        <f>SUM(I7:K7)</f>
        <v>226440.43293347553</v>
      </c>
      <c r="S7" s="43">
        <f>SUM(L7:N7)</f>
        <v>971279.32599724596</v>
      </c>
    </row>
    <row r="8" spans="1:19">
      <c r="A8" t="s">
        <v>21</v>
      </c>
      <c r="B8" t="s">
        <v>15</v>
      </c>
      <c r="C8" s="1">
        <v>408071.37741267373</v>
      </c>
      <c r="D8" s="1">
        <v>317193.05315341149</v>
      </c>
      <c r="E8" s="1">
        <v>271989.03260501608</v>
      </c>
      <c r="F8" s="1"/>
      <c r="G8" s="1"/>
      <c r="H8" s="1"/>
      <c r="I8" s="1"/>
      <c r="J8" s="1"/>
      <c r="K8" s="1"/>
      <c r="L8" s="1"/>
      <c r="M8" s="1"/>
      <c r="N8" s="1"/>
      <c r="O8" s="43">
        <f t="shared" ref="O8:O9" si="1">SUM(C8:N8)</f>
        <v>997253.46317110141</v>
      </c>
      <c r="P8" s="68">
        <f>SUM(C8:E8)</f>
        <v>997253.46317110141</v>
      </c>
      <c r="Q8" s="43">
        <f>SUM(F8:H8)</f>
        <v>0</v>
      </c>
      <c r="R8" s="43">
        <f>SUM(I8:K8)</f>
        <v>0</v>
      </c>
      <c r="S8" s="43">
        <f>SUM(L8:N8)</f>
        <v>0</v>
      </c>
    </row>
    <row r="9" spans="1:19">
      <c r="B9" t="s">
        <v>16</v>
      </c>
      <c r="C9" s="3">
        <f>C8-C7</f>
        <v>-11138.606395483192</v>
      </c>
      <c r="D9" s="3">
        <f>D8-D7</f>
        <v>-11421.512605700351</v>
      </c>
      <c r="E9" s="3">
        <f t="shared" ref="E9:N9" si="2">E8-E7</f>
        <v>-4320.7241346121882</v>
      </c>
      <c r="F9" s="3">
        <f t="shared" si="2"/>
        <v>-201013.99161668337</v>
      </c>
      <c r="G9" s="3">
        <f t="shared" si="2"/>
        <v>-119613.14111167201</v>
      </c>
      <c r="H9" s="3">
        <f t="shared" si="2"/>
        <v>-90527.406386947419</v>
      </c>
      <c r="I9" s="3">
        <f t="shared" si="2"/>
        <v>-66857.969033931746</v>
      </c>
      <c r="J9" s="3">
        <f t="shared" si="2"/>
        <v>-71081.86826672389</v>
      </c>
      <c r="K9" s="3">
        <f t="shared" si="2"/>
        <v>-88500.59563281991</v>
      </c>
      <c r="L9" s="3">
        <f t="shared" si="2"/>
        <v>-199049.82167356106</v>
      </c>
      <c r="M9" s="3">
        <f t="shared" si="2"/>
        <v>-324075.05224528984</v>
      </c>
      <c r="N9" s="3">
        <f t="shared" si="2"/>
        <v>-448154.452078395</v>
      </c>
      <c r="O9" s="44">
        <f t="shared" si="1"/>
        <v>-1635755.1411818201</v>
      </c>
      <c r="P9" s="69">
        <f t="shared" ref="P9:S9" si="3">P8-P7</f>
        <v>-26880.843135795556</v>
      </c>
      <c r="Q9" s="44">
        <f t="shared" si="3"/>
        <v>-411154.53911530279</v>
      </c>
      <c r="R9" s="44">
        <f t="shared" si="3"/>
        <v>-226440.43293347553</v>
      </c>
      <c r="S9" s="44">
        <f t="shared" si="3"/>
        <v>-971279.32599724596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7"/>
      <c r="P10" s="67"/>
      <c r="Q10" s="37"/>
      <c r="R10" s="37"/>
      <c r="S10" s="37"/>
    </row>
    <row r="11" spans="1:19">
      <c r="B11" t="s">
        <v>18</v>
      </c>
      <c r="C11" s="1">
        <f>2077627/12</f>
        <v>173135.58333333334</v>
      </c>
      <c r="D11" s="1">
        <f t="shared" ref="D11:N11" si="4">2077627/12</f>
        <v>173135.58333333334</v>
      </c>
      <c r="E11" s="1">
        <f t="shared" si="4"/>
        <v>173135.58333333334</v>
      </c>
      <c r="F11" s="1">
        <f t="shared" si="4"/>
        <v>173135.58333333334</v>
      </c>
      <c r="G11" s="1">
        <f t="shared" si="4"/>
        <v>173135.58333333334</v>
      </c>
      <c r="H11" s="1">
        <f t="shared" si="4"/>
        <v>173135.58333333334</v>
      </c>
      <c r="I11" s="1">
        <f t="shared" si="4"/>
        <v>173135.58333333334</v>
      </c>
      <c r="J11" s="1">
        <f t="shared" si="4"/>
        <v>173135.58333333334</v>
      </c>
      <c r="K11" s="1">
        <f t="shared" si="4"/>
        <v>173135.58333333334</v>
      </c>
      <c r="L11" s="1">
        <f t="shared" si="4"/>
        <v>173135.58333333334</v>
      </c>
      <c r="M11" s="1">
        <f t="shared" si="4"/>
        <v>173135.58333333334</v>
      </c>
      <c r="N11" s="1">
        <f t="shared" si="4"/>
        <v>173135.58333333334</v>
      </c>
      <c r="O11" s="43">
        <f t="shared" ref="O11:O13" si="5">SUM(C11:N11)</f>
        <v>2077626.9999999998</v>
      </c>
      <c r="P11" s="68">
        <f>SUM(C11:E11)</f>
        <v>519406.75</v>
      </c>
      <c r="Q11" s="43">
        <f>SUM(F11:H11)</f>
        <v>519406.75</v>
      </c>
      <c r="R11" s="43">
        <f>SUM(I11:K11)</f>
        <v>519406.75</v>
      </c>
      <c r="S11" s="43">
        <f>SUM(L11:N11)</f>
        <v>519406.75</v>
      </c>
    </row>
    <row r="12" spans="1:19">
      <c r="A12" t="s">
        <v>20</v>
      </c>
      <c r="B12" t="s">
        <v>17</v>
      </c>
      <c r="C12" s="1">
        <f>'ID-Sch191 Budget-Act Exp'!C68</f>
        <v>156875.66</v>
      </c>
      <c r="D12" s="1">
        <f>'ID-Sch191 Budget-Act Exp'!D68</f>
        <v>180038.58000000002</v>
      </c>
      <c r="E12" s="1">
        <f>'ID-Sch191 Budget-Act Exp'!E68</f>
        <v>129612.29999999999</v>
      </c>
      <c r="F12" s="1"/>
      <c r="G12" s="1"/>
      <c r="H12" s="1"/>
      <c r="I12" s="1"/>
      <c r="J12" s="1"/>
      <c r="K12" s="1"/>
      <c r="L12" s="1"/>
      <c r="M12" s="1"/>
      <c r="N12" s="1"/>
      <c r="O12" s="43">
        <f t="shared" si="5"/>
        <v>466526.54</v>
      </c>
      <c r="P12" s="68">
        <f>SUM(C12:E12)</f>
        <v>466526.54</v>
      </c>
      <c r="Q12" s="43">
        <f>SUM(F12:H12)</f>
        <v>0</v>
      </c>
      <c r="R12" s="43">
        <f>SUM(I12:K12)</f>
        <v>0</v>
      </c>
      <c r="S12" s="43">
        <f>SUM(L12:N12)</f>
        <v>0</v>
      </c>
    </row>
    <row r="13" spans="1:19">
      <c r="B13" t="s">
        <v>19</v>
      </c>
      <c r="C13" s="1">
        <f>C11-C12</f>
        <v>16259.92333333334</v>
      </c>
      <c r="D13" s="1">
        <f t="shared" ref="D13:N13" si="6">D11-D12</f>
        <v>-6902.9966666666733</v>
      </c>
      <c r="E13" s="1">
        <f t="shared" si="6"/>
        <v>43523.283333333355</v>
      </c>
      <c r="F13" s="1">
        <f t="shared" si="6"/>
        <v>173135.58333333334</v>
      </c>
      <c r="G13" s="1">
        <f t="shared" si="6"/>
        <v>173135.58333333334</v>
      </c>
      <c r="H13" s="1">
        <f t="shared" si="6"/>
        <v>173135.58333333334</v>
      </c>
      <c r="I13" s="1">
        <f t="shared" si="6"/>
        <v>173135.58333333334</v>
      </c>
      <c r="J13" s="1">
        <f t="shared" si="6"/>
        <v>173135.58333333334</v>
      </c>
      <c r="K13" s="1">
        <f t="shared" si="6"/>
        <v>173135.58333333334</v>
      </c>
      <c r="L13" s="1">
        <f t="shared" si="6"/>
        <v>173135.58333333334</v>
      </c>
      <c r="M13" s="1">
        <f t="shared" si="6"/>
        <v>173135.58333333334</v>
      </c>
      <c r="N13" s="1">
        <f t="shared" si="6"/>
        <v>173135.58333333334</v>
      </c>
      <c r="O13" s="44">
        <f t="shared" si="5"/>
        <v>1611100.46</v>
      </c>
      <c r="P13" s="70">
        <f t="shared" ref="P13:S13" si="7">P11-P12</f>
        <v>52880.210000000021</v>
      </c>
      <c r="Q13" s="45">
        <f t="shared" si="7"/>
        <v>519406.75</v>
      </c>
      <c r="R13" s="45">
        <f t="shared" si="7"/>
        <v>519406.75</v>
      </c>
      <c r="S13" s="45">
        <f t="shared" si="7"/>
        <v>519406.75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7"/>
      <c r="P14" s="67"/>
      <c r="Q14" s="37"/>
      <c r="R14" s="37"/>
      <c r="S14" s="37"/>
    </row>
    <row r="15" spans="1:19" ht="30">
      <c r="A15" t="s">
        <v>24</v>
      </c>
      <c r="B15" s="4" t="s">
        <v>23</v>
      </c>
      <c r="C15" s="1">
        <f>C8-C12</f>
        <v>251195.71741267372</v>
      </c>
      <c r="D15" s="1">
        <f t="shared" ref="D15:S15" si="8">D8-D12</f>
        <v>137154.47315341147</v>
      </c>
      <c r="E15" s="1">
        <f t="shared" si="8"/>
        <v>142376.73260501609</v>
      </c>
      <c r="F15" s="1">
        <f t="shared" si="8"/>
        <v>0</v>
      </c>
      <c r="G15" s="1">
        <f t="shared" si="8"/>
        <v>0</v>
      </c>
      <c r="H15" s="1">
        <f t="shared" si="8"/>
        <v>0</v>
      </c>
      <c r="I15" s="1">
        <f t="shared" si="8"/>
        <v>0</v>
      </c>
      <c r="J15" s="1">
        <f t="shared" si="8"/>
        <v>0</v>
      </c>
      <c r="K15" s="1">
        <f t="shared" si="8"/>
        <v>0</v>
      </c>
      <c r="L15" s="1">
        <f t="shared" si="8"/>
        <v>0</v>
      </c>
      <c r="M15" s="1">
        <f t="shared" si="8"/>
        <v>0</v>
      </c>
      <c r="N15" s="1">
        <f t="shared" si="8"/>
        <v>0</v>
      </c>
      <c r="O15" s="41">
        <f t="shared" si="8"/>
        <v>530726.92317110137</v>
      </c>
      <c r="P15" s="71">
        <f t="shared" si="8"/>
        <v>530726.92317110137</v>
      </c>
      <c r="Q15" s="41">
        <f t="shared" si="8"/>
        <v>0</v>
      </c>
      <c r="R15" s="41">
        <f t="shared" si="8"/>
        <v>0</v>
      </c>
      <c r="S15" s="41">
        <f t="shared" si="8"/>
        <v>0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7"/>
      <c r="P16" s="67"/>
      <c r="Q16" s="37"/>
      <c r="R16" s="37"/>
      <c r="S16" s="37"/>
    </row>
    <row r="17" spans="2:19">
      <c r="B17" t="s">
        <v>25</v>
      </c>
      <c r="C17" s="3">
        <f>C5-C15</f>
        <v>1375429.2825873264</v>
      </c>
      <c r="D17" s="3">
        <f t="shared" ref="D17:N17" si="9">D5-D15</f>
        <v>1238274.809433915</v>
      </c>
      <c r="E17" s="3">
        <f t="shared" si="9"/>
        <v>1095898.0768288989</v>
      </c>
      <c r="F17" s="3">
        <f t="shared" si="9"/>
        <v>1095898.0768288989</v>
      </c>
      <c r="G17" s="3">
        <f t="shared" si="9"/>
        <v>1095898.0768288989</v>
      </c>
      <c r="H17" s="3">
        <f t="shared" si="9"/>
        <v>1095898.0768288989</v>
      </c>
      <c r="I17" s="3">
        <f t="shared" si="9"/>
        <v>1095898.0768288989</v>
      </c>
      <c r="J17" s="3">
        <f t="shared" si="9"/>
        <v>1095898.0768288989</v>
      </c>
      <c r="K17" s="3">
        <f t="shared" si="9"/>
        <v>1095898.0768288989</v>
      </c>
      <c r="L17" s="3">
        <f t="shared" si="9"/>
        <v>1095898.0768288989</v>
      </c>
      <c r="M17" s="3">
        <f t="shared" si="9"/>
        <v>1095898.0768288989</v>
      </c>
      <c r="N17" s="3">
        <f t="shared" si="9"/>
        <v>1095898.0768288989</v>
      </c>
      <c r="O17" s="43"/>
      <c r="P17" s="68">
        <f t="shared" ref="P17:S17" si="10">P5-P15</f>
        <v>1095898.0768288986</v>
      </c>
      <c r="Q17" s="43">
        <f t="shared" si="10"/>
        <v>0</v>
      </c>
      <c r="R17" s="43">
        <f t="shared" si="10"/>
        <v>0</v>
      </c>
      <c r="S17" s="43">
        <f t="shared" si="10"/>
        <v>0</v>
      </c>
    </row>
    <row r="18" spans="2:19">
      <c r="O18" s="37"/>
      <c r="P18" s="37"/>
      <c r="Q18" s="37"/>
      <c r="R18" s="37"/>
      <c r="S18" s="37"/>
    </row>
    <row r="19" spans="2:19">
      <c r="B19" t="s">
        <v>30</v>
      </c>
      <c r="E19" s="3"/>
      <c r="F19" s="3">
        <f>F5-F7+F11</f>
        <v>1068019.6685455488</v>
      </c>
      <c r="G19" s="3">
        <f t="shared" ref="G19:N19" si="11">F19-G7+G11</f>
        <v>1121542.1107672101</v>
      </c>
      <c r="H19" s="3">
        <f t="shared" si="11"/>
        <v>1204150.2877135961</v>
      </c>
      <c r="I19" s="3">
        <f t="shared" si="11"/>
        <v>1310427.9020129975</v>
      </c>
      <c r="J19" s="3">
        <f t="shared" si="11"/>
        <v>1412481.617079607</v>
      </c>
      <c r="K19" s="3">
        <f t="shared" si="11"/>
        <v>1497116.6047801203</v>
      </c>
      <c r="L19" s="3">
        <f t="shared" si="11"/>
        <v>1471202.3664398924</v>
      </c>
      <c r="M19" s="3">
        <f t="shared" si="11"/>
        <v>1320262.8975279359</v>
      </c>
      <c r="N19" s="3">
        <f t="shared" si="11"/>
        <v>1045244.0287828742</v>
      </c>
      <c r="O19" s="37"/>
      <c r="P19" s="43"/>
      <c r="Q19" s="37"/>
      <c r="R19" s="37"/>
      <c r="S19" s="37"/>
    </row>
    <row r="21" spans="2:19">
      <c r="B21" s="47" t="s">
        <v>26</v>
      </c>
    </row>
    <row r="22" spans="2:19" ht="30.75" customHeight="1">
      <c r="B22" s="72" t="s">
        <v>28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</row>
    <row r="23" spans="2:19" ht="30.75" customHeight="1">
      <c r="B23" s="72" t="s">
        <v>29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2:19" ht="30.75" customHeight="1">
      <c r="B24" s="72" t="s">
        <v>85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</sheetData>
  <mergeCells count="3">
    <mergeCell ref="B22:N22"/>
    <mergeCell ref="B23:N23"/>
    <mergeCell ref="B24:N24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BD111"/>
  <sheetViews>
    <sheetView topLeftCell="B1" workbookViewId="0">
      <selection activeCell="B3" sqref="B3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6" t="s">
        <v>59</v>
      </c>
    </row>
    <row r="3" spans="1:28">
      <c r="B3" s="5" t="s">
        <v>47</v>
      </c>
      <c r="C3" s="61">
        <v>2010</v>
      </c>
      <c r="D3" s="61">
        <v>2010</v>
      </c>
      <c r="E3" s="61">
        <v>2010</v>
      </c>
      <c r="F3" s="61">
        <v>2010</v>
      </c>
      <c r="G3" s="61">
        <v>2010</v>
      </c>
      <c r="H3" s="61">
        <v>2010</v>
      </c>
      <c r="I3" s="61">
        <v>2010</v>
      </c>
      <c r="J3" s="61">
        <v>2010</v>
      </c>
      <c r="K3" s="61">
        <v>2010</v>
      </c>
      <c r="L3" s="61">
        <v>2010</v>
      </c>
      <c r="M3" s="61">
        <v>2010</v>
      </c>
      <c r="N3" s="61">
        <v>2010</v>
      </c>
      <c r="O3" s="61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62" t="s">
        <v>0</v>
      </c>
      <c r="D4" s="62" t="s">
        <v>1</v>
      </c>
      <c r="E4" s="62" t="s">
        <v>2</v>
      </c>
      <c r="F4" s="62" t="s">
        <v>3</v>
      </c>
      <c r="G4" s="62" t="s">
        <v>4</v>
      </c>
      <c r="H4" s="62" t="s">
        <v>5</v>
      </c>
      <c r="I4" s="62" t="s">
        <v>6</v>
      </c>
      <c r="J4" s="62" t="s">
        <v>7</v>
      </c>
      <c r="K4" s="62" t="s">
        <v>8</v>
      </c>
      <c r="L4" s="62" t="s">
        <v>9</v>
      </c>
      <c r="M4" s="62" t="s">
        <v>10</v>
      </c>
      <c r="N4" s="62" t="s">
        <v>11</v>
      </c>
      <c r="O4" s="62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715327/12</f>
        <v>59610.583333333336</v>
      </c>
      <c r="D7" s="20">
        <f t="shared" ref="D7:N7" si="0">715327/12</f>
        <v>59610.583333333336</v>
      </c>
      <c r="E7" s="20">
        <f t="shared" si="0"/>
        <v>59610.583333333336</v>
      </c>
      <c r="F7" s="20">
        <f t="shared" si="0"/>
        <v>59610.583333333336</v>
      </c>
      <c r="G7" s="20">
        <f t="shared" si="0"/>
        <v>59610.583333333336</v>
      </c>
      <c r="H7" s="20">
        <f t="shared" si="0"/>
        <v>59610.583333333336</v>
      </c>
      <c r="I7" s="20">
        <f t="shared" si="0"/>
        <v>59610.583333333336</v>
      </c>
      <c r="J7" s="20">
        <f t="shared" si="0"/>
        <v>59610.583333333336</v>
      </c>
      <c r="K7" s="20">
        <f t="shared" si="0"/>
        <v>59610.583333333336</v>
      </c>
      <c r="L7" s="20">
        <f t="shared" si="0"/>
        <v>59610.583333333336</v>
      </c>
      <c r="M7" s="20">
        <f t="shared" si="0"/>
        <v>59610.583333333336</v>
      </c>
      <c r="N7" s="20">
        <f t="shared" si="0"/>
        <v>59610.583333333336</v>
      </c>
      <c r="O7" s="54">
        <f t="shared" ref="O7:O13" si="1">SUM(C7:N7)</f>
        <v>715327.00000000012</v>
      </c>
    </row>
    <row r="8" spans="1:28">
      <c r="B8" s="5" t="s">
        <v>35</v>
      </c>
      <c r="C8" s="18">
        <f>781308/12</f>
        <v>65109</v>
      </c>
      <c r="D8" s="18">
        <f t="shared" ref="D8:N8" si="2">781308/12</f>
        <v>65109</v>
      </c>
      <c r="E8" s="18">
        <f t="shared" si="2"/>
        <v>65109</v>
      </c>
      <c r="F8" s="18">
        <f t="shared" si="2"/>
        <v>65109</v>
      </c>
      <c r="G8" s="18">
        <f t="shared" si="2"/>
        <v>65109</v>
      </c>
      <c r="H8" s="18">
        <f t="shared" si="2"/>
        <v>65109</v>
      </c>
      <c r="I8" s="18">
        <f t="shared" si="2"/>
        <v>65109</v>
      </c>
      <c r="J8" s="18">
        <f t="shared" si="2"/>
        <v>65109</v>
      </c>
      <c r="K8" s="18">
        <f t="shared" si="2"/>
        <v>65109</v>
      </c>
      <c r="L8" s="18">
        <f t="shared" si="2"/>
        <v>65109</v>
      </c>
      <c r="M8" s="18">
        <f t="shared" si="2"/>
        <v>65109</v>
      </c>
      <c r="N8" s="18">
        <f t="shared" si="2"/>
        <v>65109</v>
      </c>
      <c r="O8" s="48">
        <f t="shared" si="1"/>
        <v>781308</v>
      </c>
    </row>
    <row r="9" spans="1:28">
      <c r="B9" s="5" t="s">
        <v>36</v>
      </c>
      <c r="C9" s="18">
        <f>262855/12</f>
        <v>21904.583333333332</v>
      </c>
      <c r="D9" s="18">
        <f t="shared" ref="D9:N9" si="3">262855/12</f>
        <v>21904.583333333332</v>
      </c>
      <c r="E9" s="18">
        <f t="shared" si="3"/>
        <v>21904.583333333332</v>
      </c>
      <c r="F9" s="18">
        <f t="shared" si="3"/>
        <v>21904.583333333332</v>
      </c>
      <c r="G9" s="18">
        <f t="shared" si="3"/>
        <v>21904.583333333332</v>
      </c>
      <c r="H9" s="18">
        <f t="shared" si="3"/>
        <v>21904.583333333332</v>
      </c>
      <c r="I9" s="18">
        <f t="shared" si="3"/>
        <v>21904.583333333332</v>
      </c>
      <c r="J9" s="18">
        <f t="shared" si="3"/>
        <v>21904.583333333332</v>
      </c>
      <c r="K9" s="18">
        <f t="shared" si="3"/>
        <v>21904.583333333332</v>
      </c>
      <c r="L9" s="18">
        <f t="shared" si="3"/>
        <v>21904.583333333332</v>
      </c>
      <c r="M9" s="18">
        <f t="shared" si="3"/>
        <v>21904.583333333332</v>
      </c>
      <c r="N9" s="18">
        <f t="shared" si="3"/>
        <v>21904.583333333332</v>
      </c>
      <c r="O9" s="48">
        <f t="shared" si="1"/>
        <v>262855.00000000006</v>
      </c>
    </row>
    <row r="10" spans="1:28" hidden="1">
      <c r="B10" s="5" t="s">
        <v>37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48">
        <f t="shared" si="1"/>
        <v>0</v>
      </c>
    </row>
    <row r="11" spans="1:28" hidden="1">
      <c r="B11" s="5" t="s">
        <v>38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48">
        <f t="shared" si="1"/>
        <v>0</v>
      </c>
    </row>
    <row r="12" spans="1:28" hidden="1">
      <c r="B12" s="5" t="s">
        <v>39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48">
        <f t="shared" si="1"/>
        <v>0</v>
      </c>
    </row>
    <row r="13" spans="1:28" hidden="1">
      <c r="B13" s="5" t="s">
        <v>40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48">
        <f t="shared" si="1"/>
        <v>0</v>
      </c>
    </row>
    <row r="14" spans="1:28">
      <c r="A14" t="s">
        <v>22</v>
      </c>
      <c r="B14" s="9" t="s">
        <v>41</v>
      </c>
      <c r="C14" s="19">
        <f>SUM(C7:C13)</f>
        <v>146624.16666666669</v>
      </c>
      <c r="D14" s="19">
        <f t="shared" ref="D14:N14" si="4">SUM(D7:D13)</f>
        <v>146624.16666666669</v>
      </c>
      <c r="E14" s="19">
        <f t="shared" si="4"/>
        <v>146624.16666666669</v>
      </c>
      <c r="F14" s="19">
        <f t="shared" si="4"/>
        <v>146624.16666666669</v>
      </c>
      <c r="G14" s="19">
        <f t="shared" si="4"/>
        <v>146624.16666666669</v>
      </c>
      <c r="H14" s="19">
        <f t="shared" si="4"/>
        <v>146624.16666666669</v>
      </c>
      <c r="I14" s="19">
        <f t="shared" si="4"/>
        <v>146624.16666666669</v>
      </c>
      <c r="J14" s="19">
        <f t="shared" si="4"/>
        <v>146624.16666666669</v>
      </c>
      <c r="K14" s="19">
        <f t="shared" si="4"/>
        <v>146624.16666666669</v>
      </c>
      <c r="L14" s="19">
        <f t="shared" si="4"/>
        <v>146624.16666666669</v>
      </c>
      <c r="M14" s="19">
        <f t="shared" si="4"/>
        <v>146624.16666666669</v>
      </c>
      <c r="N14" s="19">
        <f t="shared" si="4"/>
        <v>146624.16666666669</v>
      </c>
      <c r="O14" s="49">
        <f>SUM(O7:O13)</f>
        <v>1759490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48"/>
    </row>
    <row r="16" spans="1:28">
      <c r="B16" s="9" t="s">
        <v>88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48"/>
    </row>
    <row r="17" spans="1:15">
      <c r="B17" s="5" t="s">
        <v>34</v>
      </c>
      <c r="C17" s="20">
        <f>593/12</f>
        <v>49.416666666666664</v>
      </c>
      <c r="D17" s="20">
        <f t="shared" ref="D17:N17" si="5">593/12</f>
        <v>49.416666666666664</v>
      </c>
      <c r="E17" s="20">
        <f t="shared" si="5"/>
        <v>49.416666666666664</v>
      </c>
      <c r="F17" s="20">
        <f t="shared" si="5"/>
        <v>49.416666666666664</v>
      </c>
      <c r="G17" s="20">
        <f t="shared" si="5"/>
        <v>49.416666666666664</v>
      </c>
      <c r="H17" s="20">
        <f t="shared" si="5"/>
        <v>49.416666666666664</v>
      </c>
      <c r="I17" s="20">
        <f t="shared" si="5"/>
        <v>49.416666666666664</v>
      </c>
      <c r="J17" s="20">
        <f t="shared" si="5"/>
        <v>49.416666666666664</v>
      </c>
      <c r="K17" s="20">
        <f t="shared" si="5"/>
        <v>49.416666666666664</v>
      </c>
      <c r="L17" s="20">
        <f t="shared" si="5"/>
        <v>49.416666666666664</v>
      </c>
      <c r="M17" s="20">
        <f t="shared" si="5"/>
        <v>49.416666666666664</v>
      </c>
      <c r="N17" s="20">
        <f t="shared" si="5"/>
        <v>49.416666666666664</v>
      </c>
      <c r="O17" s="54">
        <f t="shared" ref="O17:O23" si="6">SUM(C17:N17)</f>
        <v>593</v>
      </c>
    </row>
    <row r="18" spans="1:15">
      <c r="B18" s="5" t="s">
        <v>35</v>
      </c>
      <c r="C18" s="18">
        <f>3929/12</f>
        <v>327.41666666666669</v>
      </c>
      <c r="D18" s="18">
        <f t="shared" ref="D18:N18" si="7">3929/12</f>
        <v>327.41666666666669</v>
      </c>
      <c r="E18" s="18">
        <f t="shared" si="7"/>
        <v>327.41666666666669</v>
      </c>
      <c r="F18" s="18">
        <f t="shared" si="7"/>
        <v>327.41666666666669</v>
      </c>
      <c r="G18" s="18">
        <f t="shared" si="7"/>
        <v>327.41666666666669</v>
      </c>
      <c r="H18" s="18">
        <f t="shared" si="7"/>
        <v>327.41666666666669</v>
      </c>
      <c r="I18" s="18">
        <f t="shared" si="7"/>
        <v>327.41666666666669</v>
      </c>
      <c r="J18" s="18">
        <f t="shared" si="7"/>
        <v>327.41666666666669</v>
      </c>
      <c r="K18" s="18">
        <f t="shared" si="7"/>
        <v>327.41666666666669</v>
      </c>
      <c r="L18" s="18">
        <f t="shared" si="7"/>
        <v>327.41666666666669</v>
      </c>
      <c r="M18" s="18">
        <f t="shared" si="7"/>
        <v>327.41666666666669</v>
      </c>
      <c r="N18" s="18">
        <f t="shared" si="7"/>
        <v>327.41666666666669</v>
      </c>
      <c r="O18" s="48">
        <f t="shared" si="6"/>
        <v>3928.9999999999995</v>
      </c>
    </row>
    <row r="19" spans="1:15">
      <c r="B19" s="5" t="s">
        <v>36</v>
      </c>
      <c r="O19" s="48">
        <f t="shared" si="6"/>
        <v>0</v>
      </c>
    </row>
    <row r="20" spans="1:15">
      <c r="B20" s="5" t="s">
        <v>37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48">
        <f t="shared" si="6"/>
        <v>0</v>
      </c>
    </row>
    <row r="21" spans="1:15" hidden="1">
      <c r="B21" s="5" t="s">
        <v>38</v>
      </c>
      <c r="O21" s="48">
        <f t="shared" si="6"/>
        <v>0</v>
      </c>
    </row>
    <row r="22" spans="1:15">
      <c r="B22" s="5" t="s">
        <v>39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48">
        <f t="shared" si="6"/>
        <v>0</v>
      </c>
    </row>
    <row r="23" spans="1:15">
      <c r="B23" s="5" t="s">
        <v>40</v>
      </c>
      <c r="C23" s="18">
        <f>171020/12</f>
        <v>14251.666666666666</v>
      </c>
      <c r="D23" s="18">
        <f t="shared" ref="D23:N23" si="8">171020/12</f>
        <v>14251.666666666666</v>
      </c>
      <c r="E23" s="18">
        <f t="shared" si="8"/>
        <v>14251.666666666666</v>
      </c>
      <c r="F23" s="18">
        <f t="shared" si="8"/>
        <v>14251.666666666666</v>
      </c>
      <c r="G23" s="18">
        <f t="shared" si="8"/>
        <v>14251.666666666666</v>
      </c>
      <c r="H23" s="18">
        <f t="shared" si="8"/>
        <v>14251.666666666666</v>
      </c>
      <c r="I23" s="18">
        <f t="shared" si="8"/>
        <v>14251.666666666666</v>
      </c>
      <c r="J23" s="18">
        <f t="shared" si="8"/>
        <v>14251.666666666666</v>
      </c>
      <c r="K23" s="18">
        <f t="shared" si="8"/>
        <v>14251.666666666666</v>
      </c>
      <c r="L23" s="18">
        <f t="shared" si="8"/>
        <v>14251.666666666666</v>
      </c>
      <c r="M23" s="18">
        <f t="shared" si="8"/>
        <v>14251.666666666666</v>
      </c>
      <c r="N23" s="18">
        <f t="shared" si="8"/>
        <v>14251.666666666666</v>
      </c>
      <c r="O23" s="48">
        <f t="shared" si="6"/>
        <v>171020</v>
      </c>
    </row>
    <row r="24" spans="1:15">
      <c r="A24" t="s">
        <v>21</v>
      </c>
      <c r="B24" s="9" t="s">
        <v>49</v>
      </c>
      <c r="C24" s="19">
        <f t="shared" ref="C24:N24" si="9">SUM(C17:C23)</f>
        <v>14628.5</v>
      </c>
      <c r="D24" s="19">
        <f t="shared" si="9"/>
        <v>14628.5</v>
      </c>
      <c r="E24" s="19">
        <f t="shared" si="9"/>
        <v>14628.5</v>
      </c>
      <c r="F24" s="19">
        <f t="shared" si="9"/>
        <v>14628.5</v>
      </c>
      <c r="G24" s="19">
        <f t="shared" si="9"/>
        <v>14628.5</v>
      </c>
      <c r="H24" s="19">
        <f t="shared" si="9"/>
        <v>14628.5</v>
      </c>
      <c r="I24" s="19">
        <f t="shared" si="9"/>
        <v>14628.5</v>
      </c>
      <c r="J24" s="19">
        <f t="shared" si="9"/>
        <v>14628.5</v>
      </c>
      <c r="K24" s="19">
        <f t="shared" si="9"/>
        <v>14628.5</v>
      </c>
      <c r="L24" s="19">
        <f t="shared" si="9"/>
        <v>14628.5</v>
      </c>
      <c r="M24" s="19">
        <f t="shared" si="9"/>
        <v>14628.5</v>
      </c>
      <c r="N24" s="19">
        <f t="shared" si="9"/>
        <v>14628.5</v>
      </c>
      <c r="O24" s="49">
        <f>SUM(O17:O23)</f>
        <v>175542</v>
      </c>
    </row>
    <row r="25" spans="1:15" ht="16.149999999999999" customHeight="1">
      <c r="B25" s="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48"/>
    </row>
    <row r="26" spans="1:15">
      <c r="B26" s="9" t="s">
        <v>89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48"/>
    </row>
    <row r="27" spans="1:15">
      <c r="B27" s="5" t="s">
        <v>34</v>
      </c>
      <c r="C27" s="20">
        <f>9599/12</f>
        <v>799.91666666666663</v>
      </c>
      <c r="D27" s="20">
        <f t="shared" ref="D27:N27" si="10">9599/12</f>
        <v>799.91666666666663</v>
      </c>
      <c r="E27" s="20">
        <f t="shared" si="10"/>
        <v>799.91666666666663</v>
      </c>
      <c r="F27" s="20">
        <f t="shared" si="10"/>
        <v>799.91666666666663</v>
      </c>
      <c r="G27" s="20">
        <f t="shared" si="10"/>
        <v>799.91666666666663</v>
      </c>
      <c r="H27" s="20">
        <f t="shared" si="10"/>
        <v>799.91666666666663</v>
      </c>
      <c r="I27" s="20">
        <f t="shared" si="10"/>
        <v>799.91666666666663</v>
      </c>
      <c r="J27" s="20">
        <f t="shared" si="10"/>
        <v>799.91666666666663</v>
      </c>
      <c r="K27" s="20">
        <f t="shared" si="10"/>
        <v>799.91666666666663</v>
      </c>
      <c r="L27" s="20">
        <f t="shared" si="10"/>
        <v>799.91666666666663</v>
      </c>
      <c r="M27" s="20">
        <f t="shared" si="10"/>
        <v>799.91666666666663</v>
      </c>
      <c r="N27" s="20">
        <f t="shared" si="10"/>
        <v>799.91666666666663</v>
      </c>
      <c r="O27" s="54">
        <f t="shared" ref="O27:O33" si="11">SUM(C27:N27)</f>
        <v>9599</v>
      </c>
    </row>
    <row r="28" spans="1:15">
      <c r="B28" s="5" t="s">
        <v>35</v>
      </c>
      <c r="C28" s="18">
        <f>2155/12</f>
        <v>179.58333333333334</v>
      </c>
      <c r="D28" s="18">
        <f t="shared" ref="D28:N28" si="12">2155/12</f>
        <v>179.58333333333334</v>
      </c>
      <c r="E28" s="18">
        <f t="shared" si="12"/>
        <v>179.58333333333334</v>
      </c>
      <c r="F28" s="18">
        <f t="shared" si="12"/>
        <v>179.58333333333334</v>
      </c>
      <c r="G28" s="18">
        <f t="shared" si="12"/>
        <v>179.58333333333334</v>
      </c>
      <c r="H28" s="18">
        <f t="shared" si="12"/>
        <v>179.58333333333334</v>
      </c>
      <c r="I28" s="18">
        <f t="shared" si="12"/>
        <v>179.58333333333334</v>
      </c>
      <c r="J28" s="18">
        <f t="shared" si="12"/>
        <v>179.58333333333334</v>
      </c>
      <c r="K28" s="18">
        <f t="shared" si="12"/>
        <v>179.58333333333334</v>
      </c>
      <c r="L28" s="18">
        <f t="shared" si="12"/>
        <v>179.58333333333334</v>
      </c>
      <c r="M28" s="18">
        <f t="shared" si="12"/>
        <v>179.58333333333334</v>
      </c>
      <c r="N28" s="18">
        <f t="shared" si="12"/>
        <v>179.58333333333334</v>
      </c>
      <c r="O28" s="48">
        <f t="shared" si="11"/>
        <v>2154.9999999999995</v>
      </c>
    </row>
    <row r="29" spans="1:15">
      <c r="B29" s="5" t="s">
        <v>36</v>
      </c>
      <c r="C29" s="18">
        <f>910/12</f>
        <v>75.833333333333329</v>
      </c>
      <c r="D29" s="18">
        <f t="shared" ref="D29:N29" si="13">910/12</f>
        <v>75.833333333333329</v>
      </c>
      <c r="E29" s="18">
        <f t="shared" si="13"/>
        <v>75.833333333333329</v>
      </c>
      <c r="F29" s="18">
        <f t="shared" si="13"/>
        <v>75.833333333333329</v>
      </c>
      <c r="G29" s="18">
        <f t="shared" si="13"/>
        <v>75.833333333333329</v>
      </c>
      <c r="H29" s="18">
        <f t="shared" si="13"/>
        <v>75.833333333333329</v>
      </c>
      <c r="I29" s="18">
        <f t="shared" si="13"/>
        <v>75.833333333333329</v>
      </c>
      <c r="J29" s="18">
        <f t="shared" si="13"/>
        <v>75.833333333333329</v>
      </c>
      <c r="K29" s="18">
        <f t="shared" si="13"/>
        <v>75.833333333333329</v>
      </c>
      <c r="L29" s="18">
        <f t="shared" si="13"/>
        <v>75.833333333333329</v>
      </c>
      <c r="M29" s="18">
        <f t="shared" si="13"/>
        <v>75.833333333333329</v>
      </c>
      <c r="N29" s="18">
        <f t="shared" si="13"/>
        <v>75.833333333333329</v>
      </c>
      <c r="O29" s="48">
        <f t="shared" si="11"/>
        <v>910.00000000000011</v>
      </c>
    </row>
    <row r="30" spans="1:15" hidden="1">
      <c r="B30" s="5" t="s">
        <v>37</v>
      </c>
      <c r="O30" s="48">
        <f t="shared" si="11"/>
        <v>0</v>
      </c>
    </row>
    <row r="31" spans="1:15" hidden="1">
      <c r="B31" s="5" t="s">
        <v>38</v>
      </c>
      <c r="O31" s="48">
        <f t="shared" si="11"/>
        <v>0</v>
      </c>
    </row>
    <row r="32" spans="1:15" hidden="1">
      <c r="B32" s="5" t="s">
        <v>39</v>
      </c>
      <c r="O32" s="48">
        <f t="shared" si="11"/>
        <v>0</v>
      </c>
    </row>
    <row r="33" spans="1:16">
      <c r="B33" s="5" t="s">
        <v>40</v>
      </c>
      <c r="C33" s="18">
        <f>129929/12</f>
        <v>10827.416666666666</v>
      </c>
      <c r="D33" s="18">
        <f t="shared" ref="D33:N33" si="14">129929/12</f>
        <v>10827.416666666666</v>
      </c>
      <c r="E33" s="18">
        <f t="shared" si="14"/>
        <v>10827.416666666666</v>
      </c>
      <c r="F33" s="18">
        <f t="shared" si="14"/>
        <v>10827.416666666666</v>
      </c>
      <c r="G33" s="18">
        <f t="shared" si="14"/>
        <v>10827.416666666666</v>
      </c>
      <c r="H33" s="18">
        <f t="shared" si="14"/>
        <v>10827.416666666666</v>
      </c>
      <c r="I33" s="18">
        <f t="shared" si="14"/>
        <v>10827.416666666666</v>
      </c>
      <c r="J33" s="18">
        <f t="shared" si="14"/>
        <v>10827.416666666666</v>
      </c>
      <c r="K33" s="18">
        <f t="shared" si="14"/>
        <v>10827.416666666666</v>
      </c>
      <c r="L33" s="18">
        <f t="shared" si="14"/>
        <v>10827.416666666666</v>
      </c>
      <c r="M33" s="18">
        <f t="shared" si="14"/>
        <v>10827.416666666666</v>
      </c>
      <c r="N33" s="18">
        <f t="shared" si="14"/>
        <v>10827.416666666666</v>
      </c>
      <c r="O33" s="48">
        <f t="shared" si="11"/>
        <v>129929.00000000001</v>
      </c>
    </row>
    <row r="34" spans="1:16">
      <c r="A34" t="s">
        <v>20</v>
      </c>
      <c r="B34" s="9" t="s">
        <v>48</v>
      </c>
      <c r="C34" s="19">
        <f t="shared" ref="C34:O34" si="15">SUM(C27:C33)</f>
        <v>11882.75</v>
      </c>
      <c r="D34" s="19">
        <f t="shared" si="15"/>
        <v>11882.75</v>
      </c>
      <c r="E34" s="19">
        <f t="shared" si="15"/>
        <v>11882.75</v>
      </c>
      <c r="F34" s="19">
        <f t="shared" si="15"/>
        <v>11882.75</v>
      </c>
      <c r="G34" s="19">
        <f t="shared" si="15"/>
        <v>11882.75</v>
      </c>
      <c r="H34" s="19">
        <f t="shared" si="15"/>
        <v>11882.75</v>
      </c>
      <c r="I34" s="19">
        <f t="shared" si="15"/>
        <v>11882.75</v>
      </c>
      <c r="J34" s="19">
        <f t="shared" si="15"/>
        <v>11882.75</v>
      </c>
      <c r="K34" s="19">
        <f t="shared" si="15"/>
        <v>11882.75</v>
      </c>
      <c r="L34" s="19">
        <f t="shared" si="15"/>
        <v>11882.75</v>
      </c>
      <c r="M34" s="19">
        <f t="shared" si="15"/>
        <v>11882.75</v>
      </c>
      <c r="N34" s="19">
        <f t="shared" si="15"/>
        <v>11882.75</v>
      </c>
      <c r="O34" s="49">
        <f t="shared" si="15"/>
        <v>142593</v>
      </c>
    </row>
    <row r="35" spans="1:16">
      <c r="B35" s="9"/>
      <c r="O35" s="50"/>
    </row>
    <row r="36" spans="1:16" ht="15.75" thickBot="1">
      <c r="A36" t="s">
        <v>99</v>
      </c>
      <c r="B36" s="9" t="s">
        <v>90</v>
      </c>
      <c r="C36" s="21">
        <f>C34+C24+C14</f>
        <v>173135.41666666669</v>
      </c>
      <c r="D36" s="21">
        <f t="shared" ref="D36:O36" si="16">D34+D24+D14</f>
        <v>173135.41666666669</v>
      </c>
      <c r="E36" s="21">
        <f t="shared" si="16"/>
        <v>173135.41666666669</v>
      </c>
      <c r="F36" s="21">
        <f t="shared" si="16"/>
        <v>173135.41666666669</v>
      </c>
      <c r="G36" s="21">
        <f t="shared" si="16"/>
        <v>173135.41666666669</v>
      </c>
      <c r="H36" s="21">
        <f t="shared" si="16"/>
        <v>173135.41666666669</v>
      </c>
      <c r="I36" s="21">
        <f t="shared" si="16"/>
        <v>173135.41666666669</v>
      </c>
      <c r="J36" s="21">
        <f t="shared" si="16"/>
        <v>173135.41666666669</v>
      </c>
      <c r="K36" s="21">
        <f t="shared" si="16"/>
        <v>173135.41666666669</v>
      </c>
      <c r="L36" s="21">
        <f t="shared" si="16"/>
        <v>173135.41666666669</v>
      </c>
      <c r="M36" s="21">
        <f t="shared" si="16"/>
        <v>173135.41666666669</v>
      </c>
      <c r="N36" s="21">
        <f t="shared" si="16"/>
        <v>173135.41666666669</v>
      </c>
      <c r="O36" s="51">
        <f t="shared" si="16"/>
        <v>2077625</v>
      </c>
    </row>
    <row r="37" spans="1:16" ht="15.75" thickTop="1">
      <c r="B37" s="9"/>
      <c r="O37" s="50"/>
    </row>
    <row r="38" spans="1:16">
      <c r="B38" s="10" t="s">
        <v>91</v>
      </c>
      <c r="O38" s="50"/>
    </row>
    <row r="39" spans="1:16">
      <c r="B39" s="6" t="s">
        <v>34</v>
      </c>
      <c r="C39" s="18">
        <v>29814</v>
      </c>
      <c r="D39" s="18">
        <v>13672</v>
      </c>
      <c r="E39" s="18">
        <v>15793</v>
      </c>
      <c r="F39" s="18"/>
      <c r="G39" s="18"/>
      <c r="H39" s="18"/>
      <c r="I39" s="18"/>
      <c r="J39" s="18"/>
      <c r="K39" s="18"/>
      <c r="L39" s="18"/>
      <c r="M39" s="18"/>
      <c r="N39" s="18"/>
      <c r="O39" s="52"/>
      <c r="P39" s="16">
        <f t="shared" ref="P39:P45" si="17">SUM(D39:O39)</f>
        <v>29465</v>
      </c>
    </row>
    <row r="40" spans="1:16">
      <c r="B40" s="6" t="s">
        <v>35</v>
      </c>
      <c r="C40" s="18">
        <v>87336.59</v>
      </c>
      <c r="D40" s="18">
        <v>124672.27</v>
      </c>
      <c r="E40" s="18">
        <v>69787.14</v>
      </c>
      <c r="F40" s="18"/>
      <c r="G40" s="18"/>
      <c r="H40" s="18"/>
      <c r="I40" s="18"/>
      <c r="J40" s="18"/>
      <c r="K40" s="18"/>
      <c r="L40" s="18"/>
      <c r="M40" s="18"/>
      <c r="N40" s="18"/>
      <c r="O40" s="52"/>
      <c r="P40" s="16">
        <f t="shared" si="17"/>
        <v>194459.41</v>
      </c>
    </row>
    <row r="41" spans="1:16">
      <c r="B41" s="6" t="s">
        <v>36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52"/>
      <c r="P41" s="16">
        <f t="shared" si="17"/>
        <v>0</v>
      </c>
    </row>
    <row r="42" spans="1:16" hidden="1">
      <c r="B42" s="6" t="s">
        <v>37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52"/>
      <c r="P42" s="16">
        <f t="shared" si="17"/>
        <v>0</v>
      </c>
    </row>
    <row r="43" spans="1:16" hidden="1">
      <c r="B43" s="6" t="s">
        <v>38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/>
      <c r="P43" s="16">
        <f t="shared" si="17"/>
        <v>0</v>
      </c>
    </row>
    <row r="44" spans="1:16" hidden="1">
      <c r="B44" s="6" t="s">
        <v>39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/>
      <c r="P44" s="16">
        <f t="shared" si="17"/>
        <v>0</v>
      </c>
    </row>
    <row r="45" spans="1:16" hidden="1">
      <c r="B45" s="6" t="s">
        <v>40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/>
      <c r="P45" s="16">
        <f t="shared" si="17"/>
        <v>0</v>
      </c>
    </row>
    <row r="46" spans="1:16">
      <c r="A46" t="s">
        <v>24</v>
      </c>
      <c r="B46" s="10" t="s">
        <v>42</v>
      </c>
      <c r="C46" s="19">
        <f>SUM(C39:C45)</f>
        <v>117150.59</v>
      </c>
      <c r="D46" s="19">
        <f t="shared" ref="D46:O46" si="18">SUM(D39:D45)</f>
        <v>138344.27000000002</v>
      </c>
      <c r="E46" s="19">
        <f t="shared" si="18"/>
        <v>85580.14</v>
      </c>
      <c r="F46" s="19">
        <f t="shared" si="18"/>
        <v>0</v>
      </c>
      <c r="G46" s="19">
        <f t="shared" si="18"/>
        <v>0</v>
      </c>
      <c r="H46" s="19">
        <f t="shared" si="18"/>
        <v>0</v>
      </c>
      <c r="I46" s="19">
        <f t="shared" si="18"/>
        <v>0</v>
      </c>
      <c r="J46" s="19">
        <f t="shared" si="18"/>
        <v>0</v>
      </c>
      <c r="K46" s="19">
        <f t="shared" si="18"/>
        <v>0</v>
      </c>
      <c r="L46" s="19">
        <f t="shared" si="18"/>
        <v>0</v>
      </c>
      <c r="M46" s="19">
        <f t="shared" si="18"/>
        <v>0</v>
      </c>
      <c r="N46" s="19">
        <f t="shared" si="18"/>
        <v>0</v>
      </c>
      <c r="O46" s="49">
        <f t="shared" si="18"/>
        <v>0</v>
      </c>
      <c r="P46" s="19">
        <f>SUM(P39:P45)</f>
        <v>223924.41</v>
      </c>
    </row>
    <row r="47" spans="1:16"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52"/>
      <c r="P47" s="18"/>
    </row>
    <row r="48" spans="1:16">
      <c r="B48" s="10" t="s">
        <v>92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52"/>
      <c r="P48" s="18"/>
    </row>
    <row r="49" spans="1:16">
      <c r="B49" s="6" t="s">
        <v>34</v>
      </c>
      <c r="C49" s="18">
        <v>1899.64</v>
      </c>
      <c r="D49" s="18">
        <v>2137.91</v>
      </c>
      <c r="E49" s="18">
        <v>2315.1</v>
      </c>
      <c r="F49" s="18"/>
      <c r="G49" s="18"/>
      <c r="H49" s="18"/>
      <c r="I49" s="18"/>
      <c r="J49" s="18"/>
      <c r="K49" s="18"/>
      <c r="L49" s="18"/>
      <c r="M49" s="18"/>
      <c r="N49" s="18"/>
      <c r="O49" s="52"/>
      <c r="P49" s="16">
        <f t="shared" ref="P49:P55" si="19">SUM(D49:O49)</f>
        <v>4453.01</v>
      </c>
    </row>
    <row r="50" spans="1:16">
      <c r="B50" s="6" t="s">
        <v>35</v>
      </c>
      <c r="C50" s="18">
        <v>7351.74</v>
      </c>
      <c r="D50" s="18">
        <v>8531.83</v>
      </c>
      <c r="E50" s="18">
        <v>5112.6099999999997</v>
      </c>
      <c r="F50" s="18"/>
      <c r="G50" s="18"/>
      <c r="H50" s="18"/>
      <c r="I50" s="18"/>
      <c r="J50" s="18"/>
      <c r="K50" s="18"/>
      <c r="L50" s="18"/>
      <c r="M50" s="18"/>
      <c r="N50" s="18"/>
      <c r="O50" s="52"/>
      <c r="P50" s="16">
        <f t="shared" si="19"/>
        <v>13644.439999999999</v>
      </c>
    </row>
    <row r="51" spans="1:16">
      <c r="B51" s="6" t="s">
        <v>36</v>
      </c>
      <c r="C51" s="18">
        <v>2496.35</v>
      </c>
      <c r="D51" s="18">
        <v>853.8</v>
      </c>
      <c r="E51" s="18">
        <v>978.04</v>
      </c>
      <c r="F51" s="18"/>
      <c r="G51" s="18"/>
      <c r="H51" s="18"/>
      <c r="I51" s="18"/>
      <c r="J51" s="18"/>
      <c r="K51" s="18"/>
      <c r="L51" s="18"/>
      <c r="M51" s="18"/>
      <c r="N51" s="18"/>
      <c r="O51" s="52"/>
      <c r="P51" s="16">
        <f t="shared" si="19"/>
        <v>1831.84</v>
      </c>
    </row>
    <row r="52" spans="1:16" hidden="1">
      <c r="B52" s="6" t="s">
        <v>37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52"/>
      <c r="P52" s="16">
        <f t="shared" si="19"/>
        <v>0</v>
      </c>
    </row>
    <row r="53" spans="1:16" hidden="1">
      <c r="B53" s="6" t="s">
        <v>38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52"/>
      <c r="P53" s="16">
        <f t="shared" si="19"/>
        <v>0</v>
      </c>
    </row>
    <row r="54" spans="1:16">
      <c r="B54" s="6" t="s">
        <v>39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52"/>
      <c r="P54" s="16">
        <f t="shared" si="19"/>
        <v>0</v>
      </c>
    </row>
    <row r="55" spans="1:16">
      <c r="B55" s="6" t="s">
        <v>40</v>
      </c>
      <c r="C55" s="18">
        <v>23178.37</v>
      </c>
      <c r="D55" s="18">
        <v>24559.19</v>
      </c>
      <c r="E55" s="18">
        <v>31880.42</v>
      </c>
      <c r="F55" s="18"/>
      <c r="G55" s="18"/>
      <c r="H55" s="18"/>
      <c r="I55" s="18"/>
      <c r="J55" s="18"/>
      <c r="K55" s="18"/>
      <c r="L55" s="18"/>
      <c r="M55" s="18"/>
      <c r="N55" s="18"/>
      <c r="O55" s="52"/>
      <c r="P55" s="16">
        <f t="shared" si="19"/>
        <v>56439.61</v>
      </c>
    </row>
    <row r="56" spans="1:16">
      <c r="A56" t="s">
        <v>100</v>
      </c>
      <c r="B56" s="10" t="s">
        <v>93</v>
      </c>
      <c r="C56" s="19">
        <f t="shared" ref="C56:O56" si="20">SUM(C49:C55)</f>
        <v>34926.1</v>
      </c>
      <c r="D56" s="19">
        <f t="shared" si="20"/>
        <v>36082.729999999996</v>
      </c>
      <c r="E56" s="19">
        <f t="shared" si="20"/>
        <v>40286.17</v>
      </c>
      <c r="F56" s="19">
        <f t="shared" si="20"/>
        <v>0</v>
      </c>
      <c r="G56" s="19">
        <f t="shared" si="20"/>
        <v>0</v>
      </c>
      <c r="H56" s="19">
        <f t="shared" si="20"/>
        <v>0</v>
      </c>
      <c r="I56" s="19">
        <f t="shared" si="20"/>
        <v>0</v>
      </c>
      <c r="J56" s="19">
        <f t="shared" si="20"/>
        <v>0</v>
      </c>
      <c r="K56" s="19">
        <f t="shared" si="20"/>
        <v>0</v>
      </c>
      <c r="L56" s="19">
        <f t="shared" si="20"/>
        <v>0</v>
      </c>
      <c r="M56" s="19">
        <f t="shared" si="20"/>
        <v>0</v>
      </c>
      <c r="N56" s="19">
        <f t="shared" si="20"/>
        <v>0</v>
      </c>
      <c r="O56" s="49">
        <f t="shared" si="20"/>
        <v>0</v>
      </c>
      <c r="P56" s="19">
        <f>SUM(P49:P55)</f>
        <v>76368.899999999994</v>
      </c>
    </row>
    <row r="57" spans="1:16"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52"/>
      <c r="P57" s="18"/>
    </row>
    <row r="58" spans="1:16">
      <c r="B58" s="10" t="s">
        <v>94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52"/>
      <c r="P58" s="18"/>
    </row>
    <row r="59" spans="1:16">
      <c r="B59" s="6" t="s">
        <v>34</v>
      </c>
      <c r="C59" s="18">
        <v>4798.97</v>
      </c>
      <c r="D59" s="18">
        <v>5611.58</v>
      </c>
      <c r="E59" s="18">
        <v>3745.99</v>
      </c>
      <c r="F59" s="18"/>
      <c r="G59" s="18"/>
      <c r="H59" s="18"/>
      <c r="I59" s="18"/>
      <c r="J59" s="18"/>
      <c r="K59" s="18"/>
      <c r="L59" s="18"/>
      <c r="M59" s="18"/>
      <c r="N59" s="18"/>
      <c r="O59" s="52"/>
      <c r="P59" s="16">
        <f t="shared" ref="P59:P65" si="21">SUM(D59:O59)</f>
        <v>9357.57</v>
      </c>
    </row>
    <row r="60" spans="1:16">
      <c r="B60" s="6" t="s">
        <v>35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52"/>
      <c r="P60" s="16">
        <f t="shared" si="21"/>
        <v>0</v>
      </c>
    </row>
    <row r="61" spans="1:16">
      <c r="B61" s="6" t="s">
        <v>36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52"/>
      <c r="P61" s="16">
        <f t="shared" si="21"/>
        <v>0</v>
      </c>
    </row>
    <row r="62" spans="1:16" hidden="1">
      <c r="B62" s="6" t="s">
        <v>37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52"/>
      <c r="P62" s="16">
        <f t="shared" si="21"/>
        <v>0</v>
      </c>
    </row>
    <row r="63" spans="1:16" hidden="1">
      <c r="B63" s="6" t="s">
        <v>38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52"/>
      <c r="P63" s="16">
        <f t="shared" si="21"/>
        <v>0</v>
      </c>
    </row>
    <row r="64" spans="1:16">
      <c r="B64" s="6" t="s">
        <v>39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52"/>
      <c r="P64" s="16">
        <f t="shared" si="21"/>
        <v>0</v>
      </c>
    </row>
    <row r="65" spans="1:16">
      <c r="B65" s="6" t="s">
        <v>40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52"/>
      <c r="P65" s="16">
        <f t="shared" si="21"/>
        <v>0</v>
      </c>
    </row>
    <row r="66" spans="1:16">
      <c r="A66" t="s">
        <v>101</v>
      </c>
      <c r="B66" s="10" t="s">
        <v>43</v>
      </c>
      <c r="C66" s="19">
        <f t="shared" ref="C66:P66" si="22">SUM(C59:C65)</f>
        <v>4798.97</v>
      </c>
      <c r="D66" s="19">
        <f t="shared" si="22"/>
        <v>5611.58</v>
      </c>
      <c r="E66" s="19">
        <f t="shared" si="22"/>
        <v>3745.99</v>
      </c>
      <c r="F66" s="19">
        <f t="shared" si="22"/>
        <v>0</v>
      </c>
      <c r="G66" s="19">
        <f t="shared" si="22"/>
        <v>0</v>
      </c>
      <c r="H66" s="19">
        <f t="shared" si="22"/>
        <v>0</v>
      </c>
      <c r="I66" s="19">
        <f t="shared" si="22"/>
        <v>0</v>
      </c>
      <c r="J66" s="19">
        <f t="shared" si="22"/>
        <v>0</v>
      </c>
      <c r="K66" s="19">
        <f t="shared" si="22"/>
        <v>0</v>
      </c>
      <c r="L66" s="19">
        <f t="shared" si="22"/>
        <v>0</v>
      </c>
      <c r="M66" s="19">
        <f t="shared" si="22"/>
        <v>0</v>
      </c>
      <c r="N66" s="19">
        <f t="shared" si="22"/>
        <v>0</v>
      </c>
      <c r="O66" s="49">
        <f t="shared" si="22"/>
        <v>0</v>
      </c>
      <c r="P66" s="19">
        <f t="shared" si="22"/>
        <v>9357.57</v>
      </c>
    </row>
    <row r="67" spans="1:16"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2"/>
      <c r="P67" s="18"/>
    </row>
    <row r="68" spans="1:16" ht="15.75" thickBot="1">
      <c r="A68" t="s">
        <v>102</v>
      </c>
      <c r="B68" s="10" t="s">
        <v>95</v>
      </c>
      <c r="C68" s="21">
        <f>C66+C56+C46</f>
        <v>156875.66</v>
      </c>
      <c r="D68" s="21">
        <f>D66+D56+D46</f>
        <v>180038.58000000002</v>
      </c>
      <c r="E68" s="21">
        <f t="shared" ref="E68:P68" si="23">E66+E56+E46</f>
        <v>129612.29999999999</v>
      </c>
      <c r="F68" s="21">
        <f t="shared" si="23"/>
        <v>0</v>
      </c>
      <c r="G68" s="21">
        <f t="shared" si="23"/>
        <v>0</v>
      </c>
      <c r="H68" s="21">
        <f t="shared" si="23"/>
        <v>0</v>
      </c>
      <c r="I68" s="21">
        <f t="shared" si="23"/>
        <v>0</v>
      </c>
      <c r="J68" s="21">
        <f t="shared" si="23"/>
        <v>0</v>
      </c>
      <c r="K68" s="21">
        <f t="shared" si="23"/>
        <v>0</v>
      </c>
      <c r="L68" s="21">
        <f t="shared" si="23"/>
        <v>0</v>
      </c>
      <c r="M68" s="21">
        <f t="shared" si="23"/>
        <v>0</v>
      </c>
      <c r="N68" s="21">
        <f t="shared" si="23"/>
        <v>0</v>
      </c>
      <c r="O68" s="51">
        <f t="shared" si="23"/>
        <v>0</v>
      </c>
      <c r="P68" s="21">
        <f t="shared" si="23"/>
        <v>309650.88</v>
      </c>
    </row>
    <row r="69" spans="1:16" ht="15.75" thickTop="1">
      <c r="B69" s="9"/>
      <c r="O69" s="50"/>
    </row>
    <row r="70" spans="1:16">
      <c r="B70" s="11" t="s">
        <v>44</v>
      </c>
      <c r="O70" s="50"/>
    </row>
    <row r="71" spans="1:16">
      <c r="B71" s="11" t="s">
        <v>96</v>
      </c>
      <c r="O71" s="50"/>
    </row>
    <row r="72" spans="1:16">
      <c r="B72" s="12" t="s">
        <v>34</v>
      </c>
      <c r="C72" s="20">
        <f>C7-C39</f>
        <v>29796.583333333336</v>
      </c>
      <c r="D72" s="20">
        <f t="shared" ref="D72:E72" si="24">D7-D39</f>
        <v>45938.583333333336</v>
      </c>
      <c r="E72" s="20">
        <f t="shared" si="24"/>
        <v>43817.583333333336</v>
      </c>
      <c r="F72" s="31"/>
      <c r="G72" s="31"/>
      <c r="H72" s="31"/>
      <c r="I72" s="31"/>
      <c r="J72" s="31"/>
      <c r="K72" s="31"/>
      <c r="L72" s="31"/>
      <c r="M72" s="31"/>
      <c r="N72" s="31"/>
      <c r="O72" s="48">
        <f t="shared" ref="O72:O78" si="25">SUM(C72:N72)</f>
        <v>119552.75</v>
      </c>
    </row>
    <row r="73" spans="1:16">
      <c r="B73" s="12" t="s">
        <v>35</v>
      </c>
      <c r="C73" s="20">
        <f t="shared" ref="C73:E79" si="26">C8-C40</f>
        <v>-22227.589999999997</v>
      </c>
      <c r="D73" s="20">
        <f t="shared" si="26"/>
        <v>-59563.270000000004</v>
      </c>
      <c r="E73" s="20">
        <f t="shared" si="26"/>
        <v>-4678.1399999999994</v>
      </c>
      <c r="F73" s="31"/>
      <c r="G73" s="31"/>
      <c r="H73" s="31"/>
      <c r="I73" s="31"/>
      <c r="J73" s="31"/>
      <c r="K73" s="31"/>
      <c r="L73" s="31"/>
      <c r="M73" s="31"/>
      <c r="N73" s="31"/>
      <c r="O73" s="48">
        <f t="shared" si="25"/>
        <v>-86469</v>
      </c>
    </row>
    <row r="74" spans="1:16">
      <c r="B74" s="12" t="s">
        <v>36</v>
      </c>
      <c r="C74" s="20">
        <f t="shared" si="26"/>
        <v>21904.583333333332</v>
      </c>
      <c r="D74" s="20">
        <f t="shared" si="26"/>
        <v>21904.583333333332</v>
      </c>
      <c r="E74" s="20">
        <f t="shared" si="26"/>
        <v>21904.583333333332</v>
      </c>
      <c r="F74" s="31"/>
      <c r="G74" s="31"/>
      <c r="H74" s="31"/>
      <c r="I74" s="31"/>
      <c r="J74" s="31"/>
      <c r="K74" s="31"/>
      <c r="L74" s="31"/>
      <c r="M74" s="31"/>
      <c r="N74" s="31"/>
      <c r="O74" s="48">
        <f t="shared" si="25"/>
        <v>65713.75</v>
      </c>
    </row>
    <row r="75" spans="1:16" hidden="1">
      <c r="B75" s="12" t="s">
        <v>37</v>
      </c>
      <c r="C75" s="20">
        <f t="shared" si="26"/>
        <v>0</v>
      </c>
      <c r="D75" s="20">
        <f t="shared" si="26"/>
        <v>0</v>
      </c>
      <c r="E75" s="20">
        <f t="shared" si="26"/>
        <v>0</v>
      </c>
      <c r="F75" s="31"/>
      <c r="G75" s="31"/>
      <c r="H75" s="31"/>
      <c r="I75" s="31"/>
      <c r="J75" s="31"/>
      <c r="K75" s="31"/>
      <c r="L75" s="31"/>
      <c r="M75" s="31"/>
      <c r="N75" s="31"/>
      <c r="O75" s="48">
        <f t="shared" si="25"/>
        <v>0</v>
      </c>
    </row>
    <row r="76" spans="1:16" hidden="1">
      <c r="B76" s="12" t="s">
        <v>38</v>
      </c>
      <c r="C76" s="20">
        <f t="shared" si="26"/>
        <v>0</v>
      </c>
      <c r="D76" s="20">
        <f t="shared" si="26"/>
        <v>0</v>
      </c>
      <c r="E76" s="20">
        <f t="shared" si="26"/>
        <v>0</v>
      </c>
      <c r="F76" s="31"/>
      <c r="G76" s="31"/>
      <c r="H76" s="31"/>
      <c r="I76" s="31"/>
      <c r="J76" s="31"/>
      <c r="K76" s="31"/>
      <c r="L76" s="31"/>
      <c r="M76" s="31"/>
      <c r="N76" s="31"/>
      <c r="O76" s="48">
        <f t="shared" si="25"/>
        <v>0</v>
      </c>
    </row>
    <row r="77" spans="1:16" hidden="1">
      <c r="B77" s="12" t="s">
        <v>39</v>
      </c>
      <c r="C77" s="20">
        <f t="shared" si="26"/>
        <v>0</v>
      </c>
      <c r="D77" s="20">
        <f t="shared" si="26"/>
        <v>0</v>
      </c>
      <c r="E77" s="20">
        <f t="shared" si="26"/>
        <v>0</v>
      </c>
      <c r="F77" s="31"/>
      <c r="G77" s="31"/>
      <c r="H77" s="31"/>
      <c r="I77" s="31"/>
      <c r="J77" s="31"/>
      <c r="K77" s="31"/>
      <c r="L77" s="31"/>
      <c r="M77" s="31"/>
      <c r="N77" s="31"/>
      <c r="O77" s="48">
        <f t="shared" si="25"/>
        <v>0</v>
      </c>
    </row>
    <row r="78" spans="1:16" hidden="1">
      <c r="B78" s="12" t="s">
        <v>40</v>
      </c>
      <c r="C78" s="20">
        <f t="shared" si="26"/>
        <v>0</v>
      </c>
      <c r="D78" s="20">
        <f t="shared" si="26"/>
        <v>0</v>
      </c>
      <c r="E78" s="20">
        <f t="shared" si="26"/>
        <v>0</v>
      </c>
      <c r="F78" s="31"/>
      <c r="G78" s="31"/>
      <c r="H78" s="31"/>
      <c r="I78" s="31"/>
      <c r="J78" s="31"/>
      <c r="K78" s="31"/>
      <c r="L78" s="31"/>
      <c r="M78" s="31"/>
      <c r="N78" s="31"/>
      <c r="O78" s="48">
        <f t="shared" si="25"/>
        <v>0</v>
      </c>
    </row>
    <row r="79" spans="1:16">
      <c r="A79" t="s">
        <v>103</v>
      </c>
      <c r="B79" s="11" t="s">
        <v>45</v>
      </c>
      <c r="C79" s="19">
        <f t="shared" si="26"/>
        <v>29473.57666666669</v>
      </c>
      <c r="D79" s="19">
        <f t="shared" si="26"/>
        <v>8279.8966666666674</v>
      </c>
      <c r="E79" s="19">
        <f t="shared" si="26"/>
        <v>61044.026666666687</v>
      </c>
      <c r="F79" s="32"/>
      <c r="G79" s="32"/>
      <c r="H79" s="32"/>
      <c r="I79" s="32"/>
      <c r="J79" s="32"/>
      <c r="K79" s="32"/>
      <c r="L79" s="32"/>
      <c r="M79" s="32"/>
      <c r="N79" s="32"/>
      <c r="O79" s="49">
        <f t="shared" ref="O79" si="27">SUM(O72:O78)</f>
        <v>98797.5</v>
      </c>
    </row>
    <row r="80" spans="1:16">
      <c r="B80" s="11"/>
      <c r="C80" s="20"/>
      <c r="D80" s="20"/>
      <c r="E80" s="20"/>
      <c r="F80" s="30"/>
      <c r="G80" s="30"/>
      <c r="H80" s="30"/>
      <c r="I80" s="30"/>
      <c r="J80" s="30"/>
      <c r="K80" s="30"/>
      <c r="L80" s="30"/>
      <c r="M80" s="30"/>
      <c r="N80" s="30"/>
      <c r="O80" s="52"/>
    </row>
    <row r="81" spans="1:15">
      <c r="B81" s="11" t="s">
        <v>97</v>
      </c>
      <c r="C81" s="20"/>
      <c r="D81" s="20"/>
      <c r="E81" s="20"/>
      <c r="F81" s="30"/>
      <c r="G81" s="30"/>
      <c r="H81" s="30"/>
      <c r="I81" s="30"/>
      <c r="J81" s="30"/>
      <c r="K81" s="30"/>
      <c r="L81" s="30"/>
      <c r="M81" s="30"/>
      <c r="N81" s="30"/>
      <c r="O81" s="48"/>
    </row>
    <row r="82" spans="1:15">
      <c r="B82" s="12" t="s">
        <v>34</v>
      </c>
      <c r="C82" s="20">
        <f t="shared" ref="C82:E89" si="28">C17-C49</f>
        <v>-1850.2233333333334</v>
      </c>
      <c r="D82" s="20">
        <f t="shared" si="28"/>
        <v>-2088.4933333333333</v>
      </c>
      <c r="E82" s="20">
        <f t="shared" si="28"/>
        <v>-2265.6833333333334</v>
      </c>
      <c r="F82" s="30"/>
      <c r="G82" s="30"/>
      <c r="H82" s="30"/>
      <c r="I82" s="30"/>
      <c r="J82" s="30"/>
      <c r="K82" s="30"/>
      <c r="L82" s="30"/>
      <c r="M82" s="30"/>
      <c r="N82" s="30"/>
      <c r="O82" s="48">
        <f t="shared" ref="O82:O88" si="29">SUM(C82:N82)</f>
        <v>-6204.4</v>
      </c>
    </row>
    <row r="83" spans="1:15">
      <c r="B83" s="12" t="s">
        <v>35</v>
      </c>
      <c r="C83" s="20">
        <f t="shared" si="28"/>
        <v>-7024.3233333333328</v>
      </c>
      <c r="D83" s="20">
        <f t="shared" si="28"/>
        <v>-8204.4133333333339</v>
      </c>
      <c r="E83" s="20">
        <f t="shared" si="28"/>
        <v>-4785.1933333333327</v>
      </c>
      <c r="F83" s="30"/>
      <c r="G83" s="30"/>
      <c r="H83" s="30"/>
      <c r="I83" s="30"/>
      <c r="J83" s="30"/>
      <c r="K83" s="30"/>
      <c r="L83" s="30"/>
      <c r="M83" s="30"/>
      <c r="N83" s="30"/>
      <c r="O83" s="48">
        <f t="shared" si="29"/>
        <v>-20013.93</v>
      </c>
    </row>
    <row r="84" spans="1:15" hidden="1">
      <c r="B84" s="12" t="s">
        <v>36</v>
      </c>
      <c r="C84" s="20">
        <f t="shared" si="28"/>
        <v>-2496.35</v>
      </c>
      <c r="D84" s="20">
        <f t="shared" si="28"/>
        <v>-853.8</v>
      </c>
      <c r="E84" s="20">
        <f t="shared" si="28"/>
        <v>-978.04</v>
      </c>
      <c r="F84" s="30"/>
      <c r="G84" s="30"/>
      <c r="H84" s="30"/>
      <c r="I84" s="30"/>
      <c r="J84" s="30"/>
      <c r="K84" s="30"/>
      <c r="L84" s="30"/>
      <c r="M84" s="30"/>
      <c r="N84" s="30"/>
      <c r="O84" s="48">
        <f t="shared" si="29"/>
        <v>-4328.1899999999996</v>
      </c>
    </row>
    <row r="85" spans="1:15" hidden="1">
      <c r="B85" s="12" t="s">
        <v>37</v>
      </c>
      <c r="C85" s="20">
        <f t="shared" si="28"/>
        <v>0</v>
      </c>
      <c r="D85" s="20">
        <f t="shared" si="28"/>
        <v>0</v>
      </c>
      <c r="E85" s="20">
        <f t="shared" si="28"/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48">
        <f t="shared" si="29"/>
        <v>0</v>
      </c>
    </row>
    <row r="86" spans="1:15" hidden="1">
      <c r="B86" s="12" t="s">
        <v>38</v>
      </c>
      <c r="C86" s="20">
        <f t="shared" si="28"/>
        <v>0</v>
      </c>
      <c r="D86" s="20">
        <f t="shared" si="28"/>
        <v>0</v>
      </c>
      <c r="E86" s="20">
        <f t="shared" si="28"/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48">
        <f t="shared" si="29"/>
        <v>0</v>
      </c>
    </row>
    <row r="87" spans="1:15">
      <c r="B87" s="12" t="s">
        <v>39</v>
      </c>
      <c r="C87" s="20">
        <f t="shared" si="28"/>
        <v>0</v>
      </c>
      <c r="D87" s="20">
        <f t="shared" si="28"/>
        <v>0</v>
      </c>
      <c r="E87" s="20">
        <f t="shared" si="28"/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48">
        <f t="shared" si="29"/>
        <v>0</v>
      </c>
    </row>
    <row r="88" spans="1:15">
      <c r="B88" s="12" t="s">
        <v>40</v>
      </c>
      <c r="C88" s="20">
        <f t="shared" si="28"/>
        <v>-8926.7033333333329</v>
      </c>
      <c r="D88" s="20">
        <f t="shared" si="28"/>
        <v>-10307.523333333333</v>
      </c>
      <c r="E88" s="20">
        <f t="shared" si="28"/>
        <v>-17628.753333333334</v>
      </c>
      <c r="F88" s="30"/>
      <c r="G88" s="30"/>
      <c r="H88" s="30"/>
      <c r="I88" s="30"/>
      <c r="J88" s="30"/>
      <c r="K88" s="30"/>
      <c r="L88" s="30"/>
      <c r="M88" s="30"/>
      <c r="N88" s="30"/>
      <c r="O88" s="48">
        <f t="shared" si="29"/>
        <v>-36862.979999999996</v>
      </c>
    </row>
    <row r="89" spans="1:15">
      <c r="A89" t="s">
        <v>104</v>
      </c>
      <c r="B89" s="11" t="s">
        <v>45</v>
      </c>
      <c r="C89" s="19">
        <f t="shared" si="28"/>
        <v>-20297.599999999999</v>
      </c>
      <c r="D89" s="19">
        <f t="shared" si="28"/>
        <v>-21454.229999999996</v>
      </c>
      <c r="E89" s="19">
        <f t="shared" si="28"/>
        <v>-25657.67</v>
      </c>
      <c r="F89" s="32"/>
      <c r="G89" s="32"/>
      <c r="H89" s="32"/>
      <c r="I89" s="32"/>
      <c r="J89" s="32"/>
      <c r="K89" s="32"/>
      <c r="L89" s="32"/>
      <c r="M89" s="32"/>
      <c r="N89" s="32"/>
      <c r="O89" s="49">
        <f t="shared" ref="O89" si="30">SUM(O82:O88)</f>
        <v>-67409.5</v>
      </c>
    </row>
    <row r="90" spans="1:15">
      <c r="B90" s="11"/>
      <c r="C90" s="20"/>
      <c r="D90" s="20"/>
      <c r="E90" s="20"/>
      <c r="F90" s="30"/>
      <c r="G90" s="30"/>
      <c r="H90" s="30"/>
      <c r="I90" s="30"/>
      <c r="J90" s="30"/>
      <c r="K90" s="30"/>
      <c r="L90" s="30"/>
      <c r="M90" s="30"/>
      <c r="N90" s="30"/>
      <c r="O90" s="52"/>
    </row>
    <row r="91" spans="1:15">
      <c r="B91" s="11" t="s">
        <v>98</v>
      </c>
      <c r="C91" s="20"/>
      <c r="D91" s="20"/>
      <c r="E91" s="20"/>
      <c r="F91" s="30"/>
      <c r="G91" s="30"/>
      <c r="H91" s="30"/>
      <c r="I91" s="30"/>
      <c r="J91" s="30"/>
      <c r="K91" s="30"/>
      <c r="L91" s="30"/>
      <c r="M91" s="30"/>
      <c r="N91" s="30"/>
      <c r="O91" s="52"/>
    </row>
    <row r="92" spans="1:15">
      <c r="B92" s="12" t="s">
        <v>34</v>
      </c>
      <c r="C92" s="20">
        <f t="shared" ref="C92:E99" si="31">C27-C59</f>
        <v>-3999.0533333333337</v>
      </c>
      <c r="D92" s="20">
        <f t="shared" si="31"/>
        <v>-4811.663333333333</v>
      </c>
      <c r="E92" s="20">
        <f t="shared" si="31"/>
        <v>-2946.0733333333333</v>
      </c>
      <c r="F92" s="30"/>
      <c r="G92" s="30"/>
      <c r="H92" s="30"/>
      <c r="I92" s="30"/>
      <c r="J92" s="30"/>
      <c r="K92" s="30"/>
      <c r="L92" s="30"/>
      <c r="M92" s="30"/>
      <c r="N92" s="30"/>
      <c r="O92" s="48">
        <f t="shared" ref="O92:O98" si="32">SUM(C92:N92)</f>
        <v>-11756.79</v>
      </c>
    </row>
    <row r="93" spans="1:15">
      <c r="B93" s="12" t="s">
        <v>35</v>
      </c>
      <c r="C93" s="20">
        <f t="shared" si="31"/>
        <v>179.58333333333334</v>
      </c>
      <c r="D93" s="20">
        <f t="shared" si="31"/>
        <v>179.58333333333334</v>
      </c>
      <c r="E93" s="20">
        <f t="shared" si="31"/>
        <v>179.58333333333334</v>
      </c>
      <c r="F93" s="30"/>
      <c r="G93" s="30"/>
      <c r="H93" s="30"/>
      <c r="I93" s="30"/>
      <c r="J93" s="30"/>
      <c r="K93" s="30"/>
      <c r="L93" s="30"/>
      <c r="M93" s="30"/>
      <c r="N93" s="30"/>
      <c r="O93" s="48">
        <f t="shared" si="32"/>
        <v>538.75</v>
      </c>
    </row>
    <row r="94" spans="1:15">
      <c r="B94" s="12" t="s">
        <v>36</v>
      </c>
      <c r="C94" s="20">
        <f t="shared" si="31"/>
        <v>75.833333333333329</v>
      </c>
      <c r="D94" s="20">
        <f t="shared" si="31"/>
        <v>75.833333333333329</v>
      </c>
      <c r="E94" s="20">
        <f t="shared" si="31"/>
        <v>75.833333333333329</v>
      </c>
      <c r="F94" s="30"/>
      <c r="G94" s="30"/>
      <c r="H94" s="30"/>
      <c r="I94" s="30"/>
      <c r="J94" s="30"/>
      <c r="K94" s="30"/>
      <c r="L94" s="30"/>
      <c r="M94" s="30"/>
      <c r="N94" s="30"/>
      <c r="O94" s="48">
        <f t="shared" si="32"/>
        <v>227.5</v>
      </c>
    </row>
    <row r="95" spans="1:15" hidden="1">
      <c r="B95" s="12" t="s">
        <v>37</v>
      </c>
      <c r="C95" s="20">
        <f t="shared" si="31"/>
        <v>0</v>
      </c>
      <c r="D95" s="20">
        <f t="shared" si="31"/>
        <v>0</v>
      </c>
      <c r="E95" s="20">
        <f t="shared" si="31"/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48">
        <f t="shared" si="32"/>
        <v>0</v>
      </c>
    </row>
    <row r="96" spans="1:15" hidden="1">
      <c r="B96" s="12" t="s">
        <v>38</v>
      </c>
      <c r="C96" s="20">
        <f t="shared" si="31"/>
        <v>0</v>
      </c>
      <c r="D96" s="20">
        <f t="shared" si="31"/>
        <v>0</v>
      </c>
      <c r="E96" s="20">
        <f t="shared" si="31"/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48">
        <f t="shared" si="32"/>
        <v>0</v>
      </c>
    </row>
    <row r="97" spans="1:15" hidden="1">
      <c r="B97" s="12" t="s">
        <v>39</v>
      </c>
      <c r="C97" s="20">
        <f t="shared" si="31"/>
        <v>0</v>
      </c>
      <c r="D97" s="20">
        <f t="shared" si="31"/>
        <v>0</v>
      </c>
      <c r="E97" s="20">
        <f t="shared" si="31"/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48">
        <f t="shared" si="32"/>
        <v>0</v>
      </c>
    </row>
    <row r="98" spans="1:15">
      <c r="B98" s="12" t="s">
        <v>40</v>
      </c>
      <c r="C98" s="20">
        <f t="shared" si="31"/>
        <v>10827.416666666666</v>
      </c>
      <c r="D98" s="20">
        <f t="shared" si="31"/>
        <v>10827.416666666666</v>
      </c>
      <c r="E98" s="20">
        <f t="shared" si="31"/>
        <v>10827.416666666666</v>
      </c>
      <c r="F98" s="30"/>
      <c r="G98" s="30"/>
      <c r="H98" s="30"/>
      <c r="I98" s="30"/>
      <c r="J98" s="30"/>
      <c r="K98" s="30"/>
      <c r="L98" s="30"/>
      <c r="M98" s="30"/>
      <c r="N98" s="30"/>
      <c r="O98" s="48">
        <f t="shared" si="32"/>
        <v>32482.25</v>
      </c>
    </row>
    <row r="99" spans="1:15">
      <c r="A99" t="s">
        <v>105</v>
      </c>
      <c r="B99" s="11" t="s">
        <v>45</v>
      </c>
      <c r="C99" s="19">
        <f t="shared" si="31"/>
        <v>7083.78</v>
      </c>
      <c r="D99" s="19">
        <f t="shared" si="31"/>
        <v>6271.17</v>
      </c>
      <c r="E99" s="19">
        <f t="shared" si="31"/>
        <v>8136.76</v>
      </c>
      <c r="F99" s="32"/>
      <c r="G99" s="32"/>
      <c r="H99" s="32"/>
      <c r="I99" s="32"/>
      <c r="J99" s="32"/>
      <c r="K99" s="32"/>
      <c r="L99" s="32"/>
      <c r="M99" s="32"/>
      <c r="N99" s="32"/>
      <c r="O99" s="49">
        <f t="shared" ref="O99" si="33">SUM(O92:O98)</f>
        <v>21491.71</v>
      </c>
    </row>
    <row r="100" spans="1:15">
      <c r="B100" s="11"/>
      <c r="C100" s="20"/>
      <c r="D100" s="20"/>
      <c r="E100" s="20"/>
      <c r="F100" s="30"/>
      <c r="G100" s="30"/>
      <c r="H100" s="30"/>
      <c r="I100" s="30"/>
      <c r="J100" s="30"/>
      <c r="K100" s="30"/>
      <c r="L100" s="30"/>
      <c r="M100" s="30"/>
      <c r="N100" s="30"/>
      <c r="O100" s="52"/>
    </row>
    <row r="101" spans="1:15" ht="15.75" thickBot="1">
      <c r="B101" s="11" t="s">
        <v>45</v>
      </c>
      <c r="C101" s="35">
        <f>C36-C68</f>
        <v>16259.756666666683</v>
      </c>
      <c r="D101" s="35">
        <f t="shared" ref="D101:E101" si="34">D36-D68</f>
        <v>-6903.1633333333302</v>
      </c>
      <c r="E101" s="35">
        <f t="shared" si="34"/>
        <v>43523.116666666698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51">
        <f t="shared" ref="O101" si="35">O99+O89+O79</f>
        <v>52879.71</v>
      </c>
    </row>
    <row r="102" spans="1:15" ht="15.75" thickTop="1">
      <c r="B102" s="9"/>
    </row>
    <row r="103" spans="1:15">
      <c r="B103" s="9"/>
    </row>
    <row r="104" spans="1:15">
      <c r="B104" s="27" t="s">
        <v>58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31.5" customHeight="1">
      <c r="B105" s="73" t="s">
        <v>67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1:15" ht="31.5" customHeight="1">
      <c r="B106" s="73" t="s">
        <v>68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</row>
    <row r="108" spans="1:15">
      <c r="B108" s="58" t="s">
        <v>60</v>
      </c>
      <c r="C108" s="59"/>
      <c r="D108" s="59"/>
      <c r="E108" s="59"/>
      <c r="F108" s="60"/>
      <c r="G108" s="60"/>
      <c r="H108" s="60"/>
      <c r="I108" s="60"/>
      <c r="J108" s="60"/>
      <c r="K108" s="60"/>
      <c r="L108" s="60"/>
      <c r="M108" s="60"/>
      <c r="N108" s="60"/>
      <c r="O108" s="60"/>
    </row>
    <row r="109" spans="1:15" ht="29.25" customHeight="1">
      <c r="B109" s="72" t="s">
        <v>66</v>
      </c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1:15" ht="27.75" customHeight="1">
      <c r="B110" s="72" t="s">
        <v>83</v>
      </c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1:15" ht="29.25" customHeight="1">
      <c r="B111" s="72" t="s">
        <v>84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</sheetData>
  <mergeCells count="5">
    <mergeCell ref="B105:O105"/>
    <mergeCell ref="B109:O109"/>
    <mergeCell ref="B110:O110"/>
    <mergeCell ref="B111:O111"/>
    <mergeCell ref="B106:O106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81205735848445924E4D0F05517EFE" ma:contentTypeVersion="135" ma:contentTypeDescription="" ma:contentTypeScope="" ma:versionID="a88cdd576291ccb1462ea7e3eb671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2008-12-31T08:00:00+00:00</OpenedDate>
    <Date1 xmlns="dc463f71-b30c-4ab2-9473-d307f9d35888">2010-04-20T07:00:00+00:00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082272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D7E183D-F898-448A-80CF-9D4A64BC7888}"/>
</file>

<file path=customXml/itemProps2.xml><?xml version="1.0" encoding="utf-8"?>
<ds:datastoreItem xmlns:ds="http://schemas.openxmlformats.org/officeDocument/2006/customXml" ds:itemID="{9027D54B-03CB-49C0-83CC-7BAE7609933D}"/>
</file>

<file path=customXml/itemProps3.xml><?xml version="1.0" encoding="utf-8"?>
<ds:datastoreItem xmlns:ds="http://schemas.openxmlformats.org/officeDocument/2006/customXml" ds:itemID="{9CF671DA-FF30-475F-8188-71D61DC59BF8}"/>
</file>

<file path=customXml/itemProps4.xml><?xml version="1.0" encoding="utf-8"?>
<ds:datastoreItem xmlns:ds="http://schemas.openxmlformats.org/officeDocument/2006/customXml" ds:itemID="{7F9ADCD0-C67B-4C9F-BF76-2B0484098B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WAID Act vs Budget savings</vt:lpstr>
      <vt:lpstr>WA-Sch91 Rider Balance</vt:lpstr>
      <vt:lpstr>WA-Sch91 Budget-Act Exp</vt:lpstr>
      <vt:lpstr>WA-Sch191 Rider Balance</vt:lpstr>
      <vt:lpstr>WA-Sch191 Budget-Act Exp </vt:lpstr>
      <vt:lpstr>ID-Sch91 Rider Balance</vt:lpstr>
      <vt:lpstr>ID-Sch91 Budget-Act Exp</vt:lpstr>
      <vt:lpstr>ID-Sch191 Rider Balance</vt:lpstr>
      <vt:lpstr>ID-Sch191 Budget-Act Exp</vt:lpstr>
      <vt:lpstr>'ID-Sch91 Budget-Act Exp'!DSMFlag</vt:lpstr>
      <vt:lpstr>'WA-Sch191 Budget-Act Exp '!DSMFlag</vt:lpstr>
      <vt:lpstr>'WA-Sch91 Budget-Act Exp'!DSMFlag</vt:lpstr>
      <vt:lpstr>'WA-Sch91 Rider Balance'!DSMFlag</vt:lpstr>
      <vt:lpstr>'ID-Sch191 Budget-Act Exp'!Print_Area</vt:lpstr>
      <vt:lpstr>'ID-Sch91 Budget-Act Exp'!Print_Area</vt:lpstr>
      <vt:lpstr>'WA-Sch191 Budget-Act Exp '!Print_Area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2010-04-16T18:13:58Z</cp:lastPrinted>
  <dcterms:created xsi:type="dcterms:W3CDTF">2010-03-25T21:27:14Z</dcterms:created>
  <dcterms:modified xsi:type="dcterms:W3CDTF">2010-04-20T23:14:04Z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0x0101006E56B4D1795A2E4DB2F0B01679ED314A001781205735848445924E4D0F05517EFE</vt:lpwstr>
  </property>
  <property fmtid="{D5CDD505-2E9C-101B-9397-08002B2CF9AE}" pid="4" name="_docset_NoMedatataSyncRequired">
    <vt:lpwstr>False</vt:lpwstr>
  </property>
</Properties>
</file>