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5" windowWidth="14265" windowHeight="7515" activeTab="1"/>
  </bookViews>
  <sheets>
    <sheet name="01.01.10 Base" sheetId="2" r:id="rId1"/>
    <sheet name="2011" sheetId="1" r:id="rId2"/>
    <sheet name="GL Accounts" sheetId="5" r:id="rId3"/>
  </sheets>
  <definedNames>
    <definedName name="_xlnm.Print_Titles" localSheetId="0">'01.01.10 Base'!$1:$3</definedName>
    <definedName name="Revenue_Run_Customers" localSheetId="0">#REF!</definedName>
    <definedName name="Revenue_Run_Customers" localSheetId="1">#REF!</definedName>
    <definedName name="Revenue_Run_Customers">#REF!</definedName>
    <definedName name="Revenue_Run_Therms" localSheetId="0">#REF!</definedName>
    <definedName name="Revenue_Run_Therms" localSheetId="1">#REF!</definedName>
    <definedName name="Revenue_Run_Therms">#REF!</definedName>
    <definedName name="WC_Unb_Calc" localSheetId="0">#REF!</definedName>
    <definedName name="WC_Unb_Calc" localSheetId="1">#REF!</definedName>
    <definedName name="WC_Unb_Calc">#REF!</definedName>
  </definedNames>
  <calcPr calcId="125725" calcMode="manual"/>
</workbook>
</file>

<file path=xl/calcChain.xml><?xml version="1.0" encoding="utf-8"?>
<calcChain xmlns="http://schemas.openxmlformats.org/spreadsheetml/2006/main">
  <c r="P59" i="1"/>
  <c r="P58"/>
  <c r="O61" l="1"/>
  <c r="O66"/>
  <c r="P61" l="1"/>
  <c r="N61"/>
  <c r="O59"/>
  <c r="O58"/>
  <c r="O17"/>
  <c r="H16"/>
  <c r="I16"/>
  <c r="J16"/>
  <c r="K16"/>
  <c r="L16"/>
  <c r="M16"/>
  <c r="N16"/>
  <c r="O16"/>
  <c r="N58"/>
  <c r="N59"/>
  <c r="M59"/>
  <c r="M58"/>
  <c r="L61" l="1"/>
  <c r="L62"/>
  <c r="L67" s="1"/>
  <c r="L63"/>
  <c r="L66"/>
  <c r="L68"/>
  <c r="D61"/>
  <c r="E61"/>
  <c r="F61"/>
  <c r="G61"/>
  <c r="H61"/>
  <c r="I61"/>
  <c r="J61"/>
  <c r="D62"/>
  <c r="E62"/>
  <c r="F62"/>
  <c r="G62"/>
  <c r="H62"/>
  <c r="I62"/>
  <c r="J62"/>
  <c r="D63"/>
  <c r="E63"/>
  <c r="F63"/>
  <c r="G63"/>
  <c r="H63"/>
  <c r="I63"/>
  <c r="J63"/>
  <c r="D66"/>
  <c r="E66"/>
  <c r="F66"/>
  <c r="G66"/>
  <c r="H66"/>
  <c r="I66"/>
  <c r="J66"/>
  <c r="D67"/>
  <c r="E67"/>
  <c r="F67"/>
  <c r="G67"/>
  <c r="H67"/>
  <c r="I67"/>
  <c r="J67"/>
  <c r="D68"/>
  <c r="E68"/>
  <c r="F68"/>
  <c r="G68"/>
  <c r="G69" s="1"/>
  <c r="H68"/>
  <c r="I68"/>
  <c r="J68"/>
  <c r="H69"/>
  <c r="K61"/>
  <c r="K62"/>
  <c r="K67" s="1"/>
  <c r="K63"/>
  <c r="K66"/>
  <c r="K69" s="1"/>
  <c r="K68"/>
  <c r="J69" l="1"/>
  <c r="F69"/>
  <c r="L69"/>
  <c r="I69"/>
  <c r="E69"/>
  <c r="D69"/>
  <c r="P89" i="2"/>
  <c r="O89"/>
  <c r="N89"/>
  <c r="M89"/>
  <c r="L89"/>
  <c r="K89"/>
  <c r="J89"/>
  <c r="I89"/>
  <c r="H89"/>
  <c r="G89"/>
  <c r="F89"/>
  <c r="E89"/>
  <c r="D89"/>
  <c r="Q88"/>
  <c r="Q87"/>
  <c r="Q86"/>
  <c r="Q85"/>
  <c r="Q80"/>
  <c r="E80"/>
  <c r="Q71"/>
  <c r="Q76" s="1"/>
  <c r="P71"/>
  <c r="P76" s="1"/>
  <c r="O71"/>
  <c r="O76" s="1"/>
  <c r="N71"/>
  <c r="N76" s="1"/>
  <c r="M71"/>
  <c r="M76" s="1"/>
  <c r="L71"/>
  <c r="L76" s="1"/>
  <c r="K71"/>
  <c r="K76" s="1"/>
  <c r="J71"/>
  <c r="J76" s="1"/>
  <c r="I71"/>
  <c r="I76" s="1"/>
  <c r="H71"/>
  <c r="H76" s="1"/>
  <c r="G71"/>
  <c r="G76" s="1"/>
  <c r="F71"/>
  <c r="F76" s="1"/>
  <c r="E71"/>
  <c r="E76" s="1"/>
  <c r="Q70"/>
  <c r="Q75" s="1"/>
  <c r="P70"/>
  <c r="P75" s="1"/>
  <c r="O70"/>
  <c r="O75" s="1"/>
  <c r="N70"/>
  <c r="N75" s="1"/>
  <c r="M70"/>
  <c r="M75" s="1"/>
  <c r="L70"/>
  <c r="L75" s="1"/>
  <c r="K70"/>
  <c r="K75" s="1"/>
  <c r="J70"/>
  <c r="J75" s="1"/>
  <c r="I70"/>
  <c r="I75" s="1"/>
  <c r="H70"/>
  <c r="H75" s="1"/>
  <c r="G70"/>
  <c r="G75" s="1"/>
  <c r="F70"/>
  <c r="F75" s="1"/>
  <c r="E70"/>
  <c r="E75" s="1"/>
  <c r="Q69"/>
  <c r="Q74" s="1"/>
  <c r="P69"/>
  <c r="P74" s="1"/>
  <c r="O69"/>
  <c r="O74" s="1"/>
  <c r="N69"/>
  <c r="N74" s="1"/>
  <c r="N77" s="1"/>
  <c r="M69"/>
  <c r="M74" s="1"/>
  <c r="L69"/>
  <c r="L74" s="1"/>
  <c r="K69"/>
  <c r="K74" s="1"/>
  <c r="J69"/>
  <c r="J74" s="1"/>
  <c r="J77" s="1"/>
  <c r="I69"/>
  <c r="I74" s="1"/>
  <c r="H69"/>
  <c r="H74" s="1"/>
  <c r="G69"/>
  <c r="G74" s="1"/>
  <c r="F69"/>
  <c r="F74" s="1"/>
  <c r="F77" s="1"/>
  <c r="E69"/>
  <c r="E74" s="1"/>
  <c r="P51"/>
  <c r="P60" s="1"/>
  <c r="O51"/>
  <c r="O59" s="1"/>
  <c r="N51"/>
  <c r="N60" s="1"/>
  <c r="M51"/>
  <c r="M59" s="1"/>
  <c r="L51"/>
  <c r="L60" s="1"/>
  <c r="K51"/>
  <c r="K59" s="1"/>
  <c r="J51"/>
  <c r="J60" s="1"/>
  <c r="I51"/>
  <c r="I59" s="1"/>
  <c r="H51"/>
  <c r="H60" s="1"/>
  <c r="G51"/>
  <c r="G59" s="1"/>
  <c r="F51"/>
  <c r="F60" s="1"/>
  <c r="E51"/>
  <c r="E59" s="1"/>
  <c r="Q50"/>
  <c r="Q49"/>
  <c r="Q45"/>
  <c r="F25"/>
  <c r="F27" s="1"/>
  <c r="E25"/>
  <c r="G25" s="1"/>
  <c r="G27" s="1"/>
  <c r="Q21"/>
  <c r="P21"/>
  <c r="O21"/>
  <c r="N21"/>
  <c r="M21"/>
  <c r="L21"/>
  <c r="K21"/>
  <c r="J21"/>
  <c r="I21"/>
  <c r="H21"/>
  <c r="G21"/>
  <c r="F21"/>
  <c r="E21" s="1"/>
  <c r="N12"/>
  <c r="D12"/>
  <c r="N16" s="1"/>
  <c r="O11"/>
  <c r="D11"/>
  <c r="O16" s="1"/>
  <c r="Q10"/>
  <c r="P10"/>
  <c r="O10"/>
  <c r="N10"/>
  <c r="M10"/>
  <c r="L10"/>
  <c r="K10"/>
  <c r="J10"/>
  <c r="I10"/>
  <c r="H10"/>
  <c r="G10"/>
  <c r="F10"/>
  <c r="O81" i="1"/>
  <c r="N81"/>
  <c r="M81"/>
  <c r="L81"/>
  <c r="K81"/>
  <c r="J81"/>
  <c r="I81"/>
  <c r="H81"/>
  <c r="G81"/>
  <c r="F81"/>
  <c r="E81"/>
  <c r="D81"/>
  <c r="C81"/>
  <c r="P80"/>
  <c r="P79"/>
  <c r="P78"/>
  <c r="P77"/>
  <c r="P63"/>
  <c r="P68" s="1"/>
  <c r="O63"/>
  <c r="O68" s="1"/>
  <c r="N63"/>
  <c r="N68" s="1"/>
  <c r="M63"/>
  <c r="M68" s="1"/>
  <c r="P62"/>
  <c r="P67" s="1"/>
  <c r="O62"/>
  <c r="O67" s="1"/>
  <c r="N62"/>
  <c r="N67" s="1"/>
  <c r="M62"/>
  <c r="M67" s="1"/>
  <c r="P66"/>
  <c r="P69" s="1"/>
  <c r="G16" s="1"/>
  <c r="P16" s="1"/>
  <c r="O69"/>
  <c r="N66"/>
  <c r="N69" s="1"/>
  <c r="M61"/>
  <c r="M66" s="1"/>
  <c r="M69" s="1"/>
  <c r="O43"/>
  <c r="O52" s="1"/>
  <c r="N43"/>
  <c r="M43"/>
  <c r="M52" s="1"/>
  <c r="L42"/>
  <c r="L43" s="1"/>
  <c r="K42"/>
  <c r="K43" s="1"/>
  <c r="J42"/>
  <c r="J43" s="1"/>
  <c r="I42"/>
  <c r="I43" s="1"/>
  <c r="H42"/>
  <c r="H43" s="1"/>
  <c r="G42"/>
  <c r="G43" s="1"/>
  <c r="F42"/>
  <c r="F43" s="1"/>
  <c r="E42"/>
  <c r="E43" s="1"/>
  <c r="E52" s="1"/>
  <c r="D42"/>
  <c r="D43" s="1"/>
  <c r="P41"/>
  <c r="O14"/>
  <c r="N14"/>
  <c r="M14"/>
  <c r="L14"/>
  <c r="K14"/>
  <c r="J14"/>
  <c r="I14"/>
  <c r="H14"/>
  <c r="G14"/>
  <c r="P22"/>
  <c r="P13"/>
  <c r="K52" l="1"/>
  <c r="N18"/>
  <c r="G52"/>
  <c r="J18"/>
  <c r="I52"/>
  <c r="L18"/>
  <c r="E27" i="2"/>
  <c r="E29" s="1"/>
  <c r="E58"/>
  <c r="I58"/>
  <c r="M58"/>
  <c r="E60"/>
  <c r="I60"/>
  <c r="M60"/>
  <c r="E77"/>
  <c r="E79" s="1"/>
  <c r="G77"/>
  <c r="Q11" s="1"/>
  <c r="I77"/>
  <c r="K77"/>
  <c r="I11" s="1"/>
  <c r="M77"/>
  <c r="O77"/>
  <c r="M11" s="1"/>
  <c r="Q77"/>
  <c r="Q79" s="1"/>
  <c r="P81" i="1"/>
  <c r="G58" i="2"/>
  <c r="K58"/>
  <c r="O58"/>
  <c r="G60"/>
  <c r="K60"/>
  <c r="O60"/>
  <c r="Q89"/>
  <c r="F28"/>
  <c r="G28" s="1"/>
  <c r="G29" s="1"/>
  <c r="P12"/>
  <c r="G11"/>
  <c r="F12"/>
  <c r="H12"/>
  <c r="K11"/>
  <c r="J12"/>
  <c r="L12"/>
  <c r="E61"/>
  <c r="O13" s="1"/>
  <c r="I61"/>
  <c r="G13" s="1"/>
  <c r="M61"/>
  <c r="K13" s="1"/>
  <c r="H77"/>
  <c r="L77"/>
  <c r="P77"/>
  <c r="O12"/>
  <c r="O14" s="1"/>
  <c r="O18" s="1"/>
  <c r="O22" s="1"/>
  <c r="P11"/>
  <c r="G12"/>
  <c r="H11"/>
  <c r="K12"/>
  <c r="L11"/>
  <c r="G61"/>
  <c r="Q13" s="1"/>
  <c r="K61"/>
  <c r="I13" s="1"/>
  <c r="O61"/>
  <c r="M13" s="1"/>
  <c r="F59"/>
  <c r="H59"/>
  <c r="J59"/>
  <c r="L59"/>
  <c r="N59"/>
  <c r="P59"/>
  <c r="E10"/>
  <c r="D14"/>
  <c r="Q51"/>
  <c r="F58"/>
  <c r="F61" s="1"/>
  <c r="P13" s="1"/>
  <c r="P14" s="1"/>
  <c r="P18" s="1"/>
  <c r="P22" s="1"/>
  <c r="H58"/>
  <c r="J58"/>
  <c r="J61" s="1"/>
  <c r="H13" s="1"/>
  <c r="H14" s="1"/>
  <c r="H18" s="1"/>
  <c r="H22" s="1"/>
  <c r="L58"/>
  <c r="N58"/>
  <c r="N61" s="1"/>
  <c r="L13" s="1"/>
  <c r="L14" s="1"/>
  <c r="L18" s="1"/>
  <c r="L22" s="1"/>
  <c r="P58"/>
  <c r="P14" i="1"/>
  <c r="G17"/>
  <c r="I17"/>
  <c r="K17"/>
  <c r="M17"/>
  <c r="D16"/>
  <c r="E17"/>
  <c r="F16"/>
  <c r="D51"/>
  <c r="D52"/>
  <c r="D50"/>
  <c r="F51"/>
  <c r="F52"/>
  <c r="F50"/>
  <c r="H51"/>
  <c r="K18"/>
  <c r="H52"/>
  <c r="H50"/>
  <c r="J51"/>
  <c r="M18"/>
  <c r="J52"/>
  <c r="J50"/>
  <c r="L51"/>
  <c r="O18"/>
  <c r="L52"/>
  <c r="L50"/>
  <c r="N51"/>
  <c r="N52"/>
  <c r="N50"/>
  <c r="H17"/>
  <c r="J17"/>
  <c r="J19" s="1"/>
  <c r="J21" s="1"/>
  <c r="J25" s="1"/>
  <c r="J27" s="1"/>
  <c r="L17"/>
  <c r="L19" s="1"/>
  <c r="L21" s="1"/>
  <c r="L25" s="1"/>
  <c r="L27" s="1"/>
  <c r="N17"/>
  <c r="N19" s="1"/>
  <c r="N21" s="1"/>
  <c r="N25" s="1"/>
  <c r="N27" s="1"/>
  <c r="D17"/>
  <c r="E16"/>
  <c r="F17"/>
  <c r="P42"/>
  <c r="E51"/>
  <c r="G51"/>
  <c r="I51"/>
  <c r="K51"/>
  <c r="M51"/>
  <c r="O51"/>
  <c r="P43"/>
  <c r="E50"/>
  <c r="G50"/>
  <c r="I50"/>
  <c r="K50"/>
  <c r="M50"/>
  <c r="O50"/>
  <c r="Q60" i="2" l="1"/>
  <c r="O53" i="1"/>
  <c r="F18" s="1"/>
  <c r="F19" s="1"/>
  <c r="F21" s="1"/>
  <c r="K53"/>
  <c r="G53"/>
  <c r="O19"/>
  <c r="O21" s="1"/>
  <c r="O25" s="1"/>
  <c r="O27" s="1"/>
  <c r="M19"/>
  <c r="M21" s="1"/>
  <c r="M25" s="1"/>
  <c r="M27" s="1"/>
  <c r="K19"/>
  <c r="K21" s="1"/>
  <c r="K25" s="1"/>
  <c r="K27" s="1"/>
  <c r="N53"/>
  <c r="E18" s="1"/>
  <c r="E19" s="1"/>
  <c r="E21" s="1"/>
  <c r="Q59" i="2"/>
  <c r="F29"/>
  <c r="M12"/>
  <c r="N11"/>
  <c r="Q12"/>
  <c r="F11"/>
  <c r="Q58"/>
  <c r="Q61" s="1"/>
  <c r="P61"/>
  <c r="N13" s="1"/>
  <c r="L61"/>
  <c r="J13" s="1"/>
  <c r="H61"/>
  <c r="F13" s="1"/>
  <c r="M14"/>
  <c r="M18" s="1"/>
  <c r="M22" s="1"/>
  <c r="K14"/>
  <c r="K18" s="1"/>
  <c r="K22" s="1"/>
  <c r="G14"/>
  <c r="G18" s="1"/>
  <c r="G22" s="1"/>
  <c r="Q14"/>
  <c r="Q18" s="1"/>
  <c r="Q22" s="1"/>
  <c r="I12"/>
  <c r="I14" s="1"/>
  <c r="I18" s="1"/>
  <c r="I22" s="1"/>
  <c r="J11"/>
  <c r="E12"/>
  <c r="H19" i="1"/>
  <c r="H21" s="1"/>
  <c r="H25" s="1"/>
  <c r="H27" s="1"/>
  <c r="M53"/>
  <c r="D18" s="1"/>
  <c r="I53"/>
  <c r="E53"/>
  <c r="H18" s="1"/>
  <c r="P17"/>
  <c r="L53"/>
  <c r="J53"/>
  <c r="H53"/>
  <c r="F53"/>
  <c r="I18" s="1"/>
  <c r="I19" s="1"/>
  <c r="I21" s="1"/>
  <c r="I25" s="1"/>
  <c r="I27" s="1"/>
  <c r="P52"/>
  <c r="D53"/>
  <c r="G18" s="1"/>
  <c r="G19" s="1"/>
  <c r="G21" s="1"/>
  <c r="G25" s="1"/>
  <c r="G27" s="1"/>
  <c r="P50"/>
  <c r="P51"/>
  <c r="F23" l="1"/>
  <c r="F25" s="1"/>
  <c r="F27" s="1"/>
  <c r="E23"/>
  <c r="E25" s="1"/>
  <c r="E27" s="1"/>
  <c r="P53"/>
  <c r="N14" i="2"/>
  <c r="N18" s="1"/>
  <c r="N22" s="1"/>
  <c r="E11"/>
  <c r="F14"/>
  <c r="F18" s="1"/>
  <c r="J14"/>
  <c r="J18" s="1"/>
  <c r="J22" s="1"/>
  <c r="E13"/>
  <c r="P18" i="1"/>
  <c r="P19" s="1"/>
  <c r="D19"/>
  <c r="D21" s="1"/>
  <c r="F22" i="2" l="1"/>
  <c r="E18"/>
  <c r="E22" s="1"/>
  <c r="E14"/>
  <c r="E16" s="1"/>
  <c r="D23" i="1"/>
  <c r="P21"/>
  <c r="D25" l="1"/>
  <c r="P23"/>
  <c r="P25" l="1"/>
  <c r="D27"/>
  <c r="P27" s="1"/>
</calcChain>
</file>

<file path=xl/comments1.xml><?xml version="1.0" encoding="utf-8"?>
<comments xmlns="http://schemas.openxmlformats.org/spreadsheetml/2006/main">
  <authors>
    <author>gzhkw6</author>
    <author>Joe Miller</author>
  </authors>
  <commentList>
    <comment ref="M58" authorId="0">
      <text>
        <r>
          <rPr>
            <b/>
            <sz val="10"/>
            <color indexed="81"/>
            <rFont val="Tahoma"/>
            <family val="2"/>
          </rPr>
          <t>gzhkw6:</t>
        </r>
        <r>
          <rPr>
            <sz val="10"/>
            <color indexed="81"/>
            <rFont val="Tahoma"/>
            <family val="2"/>
          </rPr>
          <t xml:space="preserve">
Due to meter reading cycle issues booked unbilled usage was increased by 9.55% over the scheduled cycle day estimate.  The same percentage is applied to the decoupling unbilled factors.</t>
        </r>
      </text>
    </comment>
    <comment ref="N58" authorId="0">
      <text>
        <r>
          <rPr>
            <b/>
            <sz val="10"/>
            <color indexed="81"/>
            <rFont val="Tahoma"/>
            <family val="2"/>
          </rPr>
          <t>gzhkw6:</t>
        </r>
        <r>
          <rPr>
            <sz val="10"/>
            <color indexed="81"/>
            <rFont val="Tahoma"/>
            <family val="2"/>
          </rPr>
          <t xml:space="preserve">
Due to meter reading cycle issues booked unbilled usage was increased by 8.48% over the scheduled cycle day estimate.  The same percentage is applied to the decoupling unbilled factors.</t>
        </r>
      </text>
    </comment>
    <comment ref="O58" authorId="0">
      <text>
        <r>
          <rPr>
            <b/>
            <sz val="10"/>
            <color indexed="81"/>
            <rFont val="Tahoma"/>
            <family val="2"/>
          </rPr>
          <t>gzhkw6:</t>
        </r>
        <r>
          <rPr>
            <sz val="10"/>
            <color indexed="81"/>
            <rFont val="Tahoma"/>
            <family val="2"/>
          </rPr>
          <t xml:space="preserve">
Due to meter reading cycle issues booked unbilled usage was increased by 8.48% over the scheduled cycle day estimate.  The same percentage is applied to the decoupling unbilled factors.</t>
        </r>
      </text>
    </comment>
    <comment ref="P58" authorId="1">
      <text>
        <r>
          <rPr>
            <b/>
            <sz val="8"/>
            <color indexed="81"/>
            <rFont val="Tahoma"/>
            <family val="2"/>
          </rPr>
          <t>Joe Miller:</t>
        </r>
        <r>
          <rPr>
            <sz val="8"/>
            <color indexed="81"/>
            <rFont val="Tahoma"/>
            <family val="2"/>
          </rPr>
          <t xml:space="preserve">
Due to meter reading cycle issues booked unbilled usage was increased by 5.45% over the scheduled cycle day estimate.  The same percentage is applied to the decoupling unbilled factors.</t>
        </r>
      </text>
    </comment>
  </commentList>
</comments>
</file>

<file path=xl/sharedStrings.xml><?xml version="1.0" encoding="utf-8"?>
<sst xmlns="http://schemas.openxmlformats.org/spreadsheetml/2006/main" count="276" uniqueCount="138">
  <si>
    <t>AVISTA UTILITIES</t>
  </si>
  <si>
    <t>Washington - Gas</t>
  </si>
  <si>
    <t>2010/2011 compared to 12 ME September 2008 Test Year</t>
  </si>
  <si>
    <t>Adjusted for Actual New Customer Usage and Schedule Shifting</t>
  </si>
  <si>
    <t>Period July 2010 - June 2011</t>
  </si>
  <si>
    <t>Period to Date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</si>
  <si>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</si>
  <si>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</si>
  <si>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</si>
  <si>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</si>
  <si>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</si>
  <si>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</si>
  <si>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</si>
  <si>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</si>
  <si>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</si>
  <si>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</si>
  <si>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</si>
  <si>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</si>
  <si>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Total</t>
  </si>
  <si>
    <t>12 Months Ended June 2011 Forecast</t>
  </si>
  <si>
    <t>Schedule 101</t>
  </si>
  <si>
    <t>Schedule 101 Billed Therms</t>
  </si>
  <si>
    <t>Deduct New Customer Usage(1)</t>
  </si>
  <si>
    <t>Schedule Shifting Adjustment (2)</t>
  </si>
  <si>
    <t>Deduct Prior Month Unbilled Therms</t>
  </si>
  <si>
    <t>Add Current Month Unbilled Therms</t>
  </si>
  <si>
    <t>Add Weather Adjustment</t>
  </si>
  <si>
    <t xml:space="preserve">   Weather Adj Calendar Therms</t>
  </si>
  <si>
    <t>Weather Adj Calendar Therms</t>
  </si>
  <si>
    <t>Less Test Year Therms</t>
  </si>
  <si>
    <t xml:space="preserve">      Therm Difference</t>
  </si>
  <si>
    <t xml:space="preserve">      Times Current Margin Rate per Therm</t>
  </si>
  <si>
    <t xml:space="preserve">         Revenue Excess (Shortfall)</t>
  </si>
  <si>
    <t>45% Limitation</t>
  </si>
  <si>
    <t xml:space="preserve">Deferred Revenue Account Entry </t>
  </si>
  <si>
    <t>407328 or (407428)</t>
  </si>
  <si>
    <t>2008 Test Year Factors,  2010 -2011 Actual Weather and Cycle Days</t>
  </si>
  <si>
    <t>Weather Normalization</t>
  </si>
  <si>
    <t>Normal Degree Days (30 Year Average 1979 - 2008)</t>
  </si>
  <si>
    <t>Actual Degree Days</t>
  </si>
  <si>
    <t>Degree Day Adjustment (1,6)</t>
  </si>
  <si>
    <t>Monthly</t>
  </si>
  <si>
    <t>Res 101</t>
  </si>
  <si>
    <t>Use/DD/Cust(6)</t>
  </si>
  <si>
    <t>Com 101</t>
  </si>
  <si>
    <t>Ind 101</t>
  </si>
  <si>
    <t>Sch. 101</t>
  </si>
  <si>
    <t xml:space="preserve">  Total 101</t>
  </si>
  <si>
    <t>Monthly Unbilled Calculation</t>
  </si>
  <si>
    <t>Unbilled DDH (current period cycle day worksheet)</t>
  </si>
  <si>
    <t>Unbilled Factor (current period cycle day worksheet)</t>
  </si>
  <si>
    <t>08 Baseld(6)</t>
  </si>
  <si>
    <t xml:space="preserve">   Total</t>
  </si>
  <si>
    <t>Pro Rata Adjustment to per Books Unbilled Total</t>
  </si>
  <si>
    <t>Pro Rata Adjusted Unbilled Total (1)</t>
  </si>
  <si>
    <t>Revenue Run Customers (Meters Billed)</t>
  </si>
  <si>
    <t>Class</t>
  </si>
  <si>
    <t>12 ME Sept</t>
  </si>
  <si>
    <t>Residential 101</t>
  </si>
  <si>
    <t>01</t>
  </si>
  <si>
    <t>Commercial 101</t>
  </si>
  <si>
    <t>21</t>
  </si>
  <si>
    <t>Industrial 101</t>
  </si>
  <si>
    <t>31</t>
  </si>
  <si>
    <t>Interdepartmental 101</t>
  </si>
  <si>
    <t>80</t>
  </si>
  <si>
    <t>Avista Utilities</t>
  </si>
  <si>
    <t xml:space="preserve">Washington - Gas - Test Year Calculations for Decoupling </t>
  </si>
  <si>
    <t>12 Months Ended September 2008 - Docket No. UG-090135</t>
  </si>
  <si>
    <t xml:space="preserve">12 MONTHS ENDED SEPTEMBER 2008 TEST YEAR BASE </t>
  </si>
  <si>
    <t>Allowed Docket No. UG-090135</t>
  </si>
  <si>
    <t>Per BJH(1)</t>
  </si>
  <si>
    <t>Annual Total</t>
  </si>
  <si>
    <t>Therms</t>
  </si>
  <si>
    <t>Usage from Revenue Run(2)</t>
  </si>
  <si>
    <t>Ded: Prior Mo. Unbilled(2)</t>
  </si>
  <si>
    <t>Add: Current Mo. Unbilled(2)</t>
  </si>
  <si>
    <t>Add: Weather Adjustment(2)</t>
  </si>
  <si>
    <t xml:space="preserve">   Test Year Monthly Therms</t>
  </si>
  <si>
    <t xml:space="preserve">Adjust to Annual Pro Forma </t>
  </si>
  <si>
    <t>Monthly Pro Forma Therms</t>
  </si>
  <si>
    <t>Customers / Billings</t>
  </si>
  <si>
    <t>Test Yr Customers/Billings(2)</t>
  </si>
  <si>
    <t>Test Year Average Use/Cust</t>
  </si>
  <si>
    <t>Schedule 156 (14th revision)</t>
  </si>
  <si>
    <t>Sch 101 Base Rate/therm(3)</t>
  </si>
  <si>
    <t>Times:  1 minus Revenue Related Items (4)</t>
  </si>
  <si>
    <t>Revenue prior to gross up</t>
  </si>
  <si>
    <t>Less: Weighted Average Gas Cost/therm(5)</t>
  </si>
  <si>
    <t xml:space="preserve">   Margin Rate/therm</t>
  </si>
  <si>
    <t>(1) From Hirschkorn workpapers in Docket No. UG-090135  BJH -1, BJH -11, and BJH - 18</t>
  </si>
  <si>
    <t>(2) From 12 ME September 2008 Monthly Data (below)</t>
  </si>
  <si>
    <t>(3) From Compliance Filing Schedule 101 per therm rate (with and without 11/1/2008 Schedule 156 gas cost adder)</t>
  </si>
  <si>
    <t>(4) From Andrews Compliance Revenue Requirement model, page 4, line 7</t>
  </si>
  <si>
    <t>(5) From Schedule 156 purchased gas cost per therm rate (14th revision sheet effective 11/1/2008)</t>
  </si>
  <si>
    <t>(6) From Hirschkorn workpapers in Docket No. UG-090135  BJH-12, BJH -17, BJH -19, and BJH - 20</t>
  </si>
  <si>
    <t>UG-090135 Weather Normalization and Unbilled Calculation</t>
  </si>
  <si>
    <t>12 Months Ended September 2008 Monthly Data</t>
  </si>
  <si>
    <t>Revenue Run Therms</t>
  </si>
  <si>
    <t>Total 101</t>
  </si>
  <si>
    <t>Unbilled DDH (6)</t>
  </si>
  <si>
    <t>Unbilled Factor (6)</t>
  </si>
  <si>
    <t xml:space="preserve">(1) Per monthly reports - current month usage for new services opened since that month of the test year. </t>
  </si>
  <si>
    <t xml:space="preserve">(2)  The schedule shifting adjustment adds back test year usage of customers that have shifted away from Schedule 101 and deducts the current month usage of customers that were on a different schedule during the test year and have shifted to Schedule 101. </t>
  </si>
  <si>
    <t>Balance Sheet Accounts</t>
  </si>
  <si>
    <t>Ferc Acct:186328</t>
  </si>
  <si>
    <t xml:space="preserve">Ferc Acct Desc:REG ASSET-DECOUPLING DEFERRED </t>
  </si>
  <si>
    <t>Service:GD</t>
  </si>
  <si>
    <t>Jurisdiction:WA</t>
  </si>
  <si>
    <t>Accounting Period</t>
  </si>
  <si>
    <t>Beginning Balance</t>
  </si>
  <si>
    <t>Monthly Activity</t>
  </si>
  <si>
    <t>Ending Balance</t>
  </si>
  <si>
    <t>Ferc Acct:182328</t>
  </si>
  <si>
    <t>Ferc Acct Desc:REG ASSET- DECOUPLING SURCHARG</t>
  </si>
  <si>
    <t>Ferc Acct:182329</t>
  </si>
  <si>
    <t>Ferc Acct Desc:REG ASSET- DECOUPLING PRIOR YE</t>
  </si>
  <si>
    <t>Sum: 0.00</t>
  </si>
  <si>
    <t>Ferc Acct:283328</t>
  </si>
  <si>
    <t>Ferc Acct Desc:ADFIT DECOUPLING DEFERRED REV</t>
  </si>
  <si>
    <t>Income Statement Accounts</t>
  </si>
  <si>
    <t>Ferc Acct:407428</t>
  </si>
  <si>
    <t>Ferc Acct Desc:REG CREDIT DECOUPLING DEF REV</t>
  </si>
  <si>
    <t>Ferc Acct:407328</t>
  </si>
  <si>
    <t>Ferc Acct Desc:REG DEBIT DECOUPLING DEF REV</t>
  </si>
  <si>
    <t>Ferc Acct:407329</t>
  </si>
  <si>
    <t>Ferc Acct Desc:REG DEBIT AMT DECOUPLING SURCH</t>
  </si>
  <si>
    <t>GL Account Balance  Accounting Period : '201007, 201008, 201009'</t>
  </si>
  <si>
    <t>201007</t>
  </si>
  <si>
    <t>201008</t>
  </si>
  <si>
    <t>201009</t>
  </si>
  <si>
    <t>Sum: -601,722.00</t>
  </si>
  <si>
    <t>Sum: -35,281.95</t>
  </si>
  <si>
    <t>Sum: 577,061.00</t>
  </si>
  <si>
    <t>Sum: 20,980.03</t>
  </si>
  <si>
    <t>Sum: 24,661.00</t>
  </si>
  <si>
    <t>Sum: 36,150.16</t>
  </si>
  <si>
    <t>Approved Decoupling Mechanism per Order No. 10 Docket No. UG-090135/UG-060518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</si>
</sst>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00"/>
    <numFmt numFmtId="166" formatCode="0.0000"/>
    <numFmt numFmtId="167" formatCode="0.0"/>
    <numFmt numFmtId="168" formatCode="&quot;$&quot;#,##0.00000_);\(&quot;$&quot;#,##0.00000\)"/>
    <numFmt numFmtId="169" formatCode="0.0000%"/>
    <numFmt numFmtId="170" formatCode="#,###,###,##0.00"/>
    <numFmt numFmtId="171" formatCode="###,###,##0.00"/>
  </numFmts>
  <fonts count="24">
    <font>
      <sz val="10"/>
      <name val="Arial"/>
    </font>
    <font>
      <sz val="10"/>
      <color rgb="FFFF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sz val="10"/>
      <color indexed="12"/>
      <name val="Arial"/>
      <family val="2"/>
    </font>
    <font>
      <b/>
      <i/>
      <sz val="10"/>
      <name val="Arial"/>
      <family val="2"/>
    </font>
    <font>
      <u/>
      <sz val="10"/>
      <name val="Arial"/>
      <family val="2"/>
    </font>
    <font>
      <sz val="9"/>
      <name val="Arial"/>
      <family val="2"/>
    </font>
    <font>
      <sz val="10"/>
      <color indexed="10"/>
      <name val="Arial"/>
      <family val="2"/>
    </font>
    <font>
      <u/>
      <sz val="10"/>
      <name val="Arial"/>
      <family val="2"/>
    </font>
    <font>
      <sz val="20"/>
      <name val="Arial"/>
      <family val="2"/>
    </font>
    <font>
      <sz val="16"/>
      <name val="Arial"/>
      <family val="2"/>
    </font>
    <font>
      <u val="singleAccounting"/>
      <sz val="10"/>
      <name val="Arial"/>
      <family val="2"/>
    </font>
    <font>
      <sz val="10"/>
      <color rgb="FF002060"/>
      <name val="Arial"/>
      <family val="2"/>
    </font>
    <font>
      <b/>
      <sz val="10"/>
      <color indexed="81"/>
      <name val="Tahoma"/>
      <family val="2"/>
    </font>
    <font>
      <sz val="10"/>
      <color indexed="81"/>
      <name val="Tahoma"/>
      <family val="2"/>
    </font>
    <font>
      <sz val="10"/>
      <color rgb="FF0070C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16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97">
    <xf numFmtId="0" fontId="0" fillId="0" borderId="0" xfId="0"/>
    <xf numFmtId="0" fontId="4" fillId="0" borderId="0" xfId="0" applyFont="1"/>
    <xf numFmtId="0" fontId="3" fillId="0" borderId="0" xfId="0" applyFont="1"/>
    <xf numFmtId="0" fontId="4" fillId="0" borderId="0" xfId="0" applyFont="1" applyBorder="1"/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/>
    <xf numFmtId="164" fontId="4" fillId="0" borderId="0" xfId="1" applyNumberFormat="1" applyFont="1"/>
    <xf numFmtId="164" fontId="4" fillId="0" borderId="0" xfId="1" applyNumberFormat="1" applyFont="1" applyFill="1"/>
    <xf numFmtId="164" fontId="4" fillId="0" borderId="0" xfId="1" applyNumberFormat="1" applyFont="1" applyFill="1" applyBorder="1"/>
    <xf numFmtId="164" fontId="6" fillId="0" borderId="0" xfId="1" applyNumberFormat="1" applyFont="1" applyFill="1"/>
    <xf numFmtId="164" fontId="6" fillId="0" borderId="0" xfId="1" applyNumberFormat="1" applyFont="1" applyFill="1" applyBorder="1"/>
    <xf numFmtId="164" fontId="4" fillId="0" borderId="0" xfId="0" applyNumberFormat="1" applyFont="1"/>
    <xf numFmtId="0" fontId="7" fillId="0" borderId="0" xfId="0" applyFont="1"/>
    <xf numFmtId="164" fontId="4" fillId="0" borderId="1" xfId="0" applyNumberFormat="1" applyFont="1" applyBorder="1"/>
    <xf numFmtId="164" fontId="4" fillId="0" borderId="0" xfId="0" applyNumberFormat="1" applyFont="1" applyBorder="1"/>
    <xf numFmtId="164" fontId="0" fillId="0" borderId="0" xfId="0" applyNumberFormat="1" applyBorder="1"/>
    <xf numFmtId="164" fontId="0" fillId="0" borderId="1" xfId="0" applyNumberFormat="1" applyBorder="1"/>
    <xf numFmtId="165" fontId="8" fillId="0" borderId="0" xfId="0" applyNumberFormat="1" applyFont="1" applyBorder="1"/>
    <xf numFmtId="5" fontId="3" fillId="0" borderId="0" xfId="2" applyNumberFormat="1" applyFont="1"/>
    <xf numFmtId="5" fontId="3" fillId="0" borderId="0" xfId="2" applyNumberFormat="1" applyFont="1" applyFill="1"/>
    <xf numFmtId="5" fontId="3" fillId="0" borderId="0" xfId="2" applyNumberFormat="1" applyFont="1" applyBorder="1"/>
    <xf numFmtId="0" fontId="4" fillId="0" borderId="0" xfId="0" applyFont="1" applyAlignment="1">
      <alignment horizontal="right"/>
    </xf>
    <xf numFmtId="9" fontId="4" fillId="0" borderId="0" xfId="3" applyFont="1" applyBorder="1"/>
    <xf numFmtId="164" fontId="4" fillId="0" borderId="0" xfId="1" applyNumberFormat="1" applyFont="1" applyBorder="1"/>
    <xf numFmtId="5" fontId="3" fillId="0" borderId="0" xfId="0" applyNumberFormat="1" applyFont="1"/>
    <xf numFmtId="164" fontId="3" fillId="0" borderId="0" xfId="1" applyNumberFormat="1" applyFont="1" applyBorder="1"/>
    <xf numFmtId="164" fontId="6" fillId="0" borderId="0" xfId="1" applyNumberFormat="1" applyFont="1"/>
    <xf numFmtId="164" fontId="0" fillId="0" borderId="0" xfId="0" applyNumberFormat="1"/>
    <xf numFmtId="0" fontId="4" fillId="2" borderId="0" xfId="0" applyFont="1" applyFill="1"/>
    <xf numFmtId="17" fontId="8" fillId="0" borderId="0" xfId="0" applyNumberFormat="1" applyFont="1" applyAlignment="1">
      <alignment horizontal="right"/>
    </xf>
    <xf numFmtId="0" fontId="8" fillId="0" borderId="0" xfId="0" applyFont="1" applyAlignment="1">
      <alignment horizontal="right"/>
    </xf>
    <xf numFmtId="0" fontId="9" fillId="0" borderId="0" xfId="0" applyFont="1"/>
    <xf numFmtId="164" fontId="2" fillId="0" borderId="0" xfId="1" applyNumberFormat="1"/>
    <xf numFmtId="0" fontId="10" fillId="0" borderId="0" xfId="0" applyFont="1"/>
    <xf numFmtId="0" fontId="0" fillId="0" borderId="1" xfId="0" applyBorder="1"/>
    <xf numFmtId="0" fontId="8" fillId="0" borderId="0" xfId="0" quotePrefix="1" applyFont="1" applyAlignment="1">
      <alignment horizontal="right"/>
    </xf>
    <xf numFmtId="0" fontId="11" fillId="0" borderId="0" xfId="0" applyFont="1" applyAlignment="1">
      <alignment horizontal="center"/>
    </xf>
    <xf numFmtId="166" fontId="0" fillId="0" borderId="0" xfId="0" applyNumberFormat="1"/>
    <xf numFmtId="0" fontId="8" fillId="0" borderId="0" xfId="0" applyFont="1"/>
    <xf numFmtId="164" fontId="2" fillId="0" borderId="1" xfId="1" applyNumberFormat="1" applyBorder="1"/>
    <xf numFmtId="164" fontId="2" fillId="0" borderId="0" xfId="1" applyNumberFormat="1" applyBorder="1"/>
    <xf numFmtId="0" fontId="0" fillId="0" borderId="0" xfId="0" applyAlignment="1">
      <alignment horizontal="left"/>
    </xf>
    <xf numFmtId="17" fontId="8" fillId="0" borderId="0" xfId="0" applyNumberFormat="1" applyFont="1"/>
    <xf numFmtId="10" fontId="4" fillId="0" borderId="0" xfId="3" applyNumberFormat="1" applyFont="1"/>
    <xf numFmtId="10" fontId="2" fillId="0" borderId="0" xfId="3" applyNumberFormat="1"/>
    <xf numFmtId="0" fontId="0" fillId="0" borderId="0" xfId="0" applyAlignment="1">
      <alignment horizontal="center"/>
    </xf>
    <xf numFmtId="164" fontId="2" fillId="0" borderId="0" xfId="1" applyNumberFormat="1" applyFont="1"/>
    <xf numFmtId="17" fontId="8" fillId="0" borderId="0" xfId="0" applyNumberFormat="1" applyFont="1" applyAlignment="1">
      <alignment horizontal="center"/>
    </xf>
    <xf numFmtId="0" fontId="0" fillId="0" borderId="0" xfId="0" quotePrefix="1" applyAlignment="1">
      <alignment horizontal="center"/>
    </xf>
    <xf numFmtId="0" fontId="8" fillId="0" borderId="0" xfId="0" applyFont="1" applyAlignment="1">
      <alignment horizontal="center"/>
    </xf>
    <xf numFmtId="164" fontId="14" fillId="0" borderId="0" xfId="1" applyNumberFormat="1" applyFont="1"/>
    <xf numFmtId="164" fontId="14" fillId="0" borderId="0" xfId="0" applyNumberFormat="1" applyFont="1"/>
    <xf numFmtId="164" fontId="14" fillId="0" borderId="0" xfId="0" applyNumberFormat="1" applyFont="1" applyBorder="1"/>
    <xf numFmtId="164" fontId="0" fillId="0" borderId="0" xfId="1" applyNumberFormat="1" applyFont="1" applyAlignment="1">
      <alignment horizontal="center"/>
    </xf>
    <xf numFmtId="165" fontId="4" fillId="0" borderId="0" xfId="0" applyNumberFormat="1" applyFont="1"/>
    <xf numFmtId="165" fontId="0" fillId="0" borderId="0" xfId="0" applyNumberFormat="1"/>
    <xf numFmtId="0" fontId="4" fillId="0" borderId="0" xfId="0" applyFont="1" applyFill="1"/>
    <xf numFmtId="168" fontId="4" fillId="0" borderId="1" xfId="2" applyNumberFormat="1" applyFont="1" applyFill="1" applyBorder="1"/>
    <xf numFmtId="168" fontId="0" fillId="0" borderId="0" xfId="0" applyNumberFormat="1"/>
    <xf numFmtId="168" fontId="4" fillId="0" borderId="0" xfId="2" applyNumberFormat="1" applyFont="1" applyFill="1" applyBorder="1"/>
    <xf numFmtId="168" fontId="3" fillId="0" borderId="1" xfId="0" applyNumberFormat="1" applyFont="1" applyFill="1" applyBorder="1"/>
    <xf numFmtId="169" fontId="2" fillId="0" borderId="0" xfId="3" applyNumberFormat="1" applyFont="1"/>
    <xf numFmtId="164" fontId="2" fillId="0" borderId="1" xfId="1" applyNumberFormat="1" applyFont="1" applyBorder="1"/>
    <xf numFmtId="164" fontId="2" fillId="0" borderId="0" xfId="1" applyNumberFormat="1" applyFont="1" applyBorder="1"/>
    <xf numFmtId="167" fontId="4" fillId="0" borderId="0" xfId="0" applyNumberFormat="1" applyFont="1"/>
    <xf numFmtId="10" fontId="2" fillId="0" borderId="0" xfId="3" applyNumberFormat="1" applyFont="1"/>
    <xf numFmtId="164" fontId="0" fillId="0" borderId="0" xfId="1" applyNumberFormat="1" applyFont="1"/>
    <xf numFmtId="167" fontId="15" fillId="0" borderId="0" xfId="0" applyNumberFormat="1" applyFont="1" applyFill="1"/>
    <xf numFmtId="10" fontId="15" fillId="0" borderId="0" xfId="3" applyNumberFormat="1" applyFont="1" applyFill="1"/>
    <xf numFmtId="167" fontId="1" fillId="0" borderId="0" xfId="0" applyNumberFormat="1" applyFont="1" applyFill="1"/>
    <xf numFmtId="0" fontId="1" fillId="0" borderId="0" xfId="0" applyFont="1" applyFill="1"/>
    <xf numFmtId="10" fontId="1" fillId="0" borderId="0" xfId="3" applyNumberFormat="1" applyFont="1" applyFill="1"/>
    <xf numFmtId="0" fontId="18" fillId="0" borderId="0" xfId="0" applyFont="1"/>
    <xf numFmtId="164" fontId="18" fillId="0" borderId="0" xfId="1" applyNumberFormat="1" applyFont="1" applyFill="1"/>
    <xf numFmtId="164" fontId="18" fillId="0" borderId="0" xfId="1" applyNumberFormat="1" applyFont="1" applyFill="1" applyBorder="1"/>
    <xf numFmtId="0" fontId="0" fillId="0" borderId="0" xfId="0" applyFill="1"/>
    <xf numFmtId="0" fontId="21" fillId="0" borderId="2" xfId="0" applyFont="1" applyFill="1" applyBorder="1" applyAlignment="1">
      <alignment horizontal="left" vertical="center" wrapText="1"/>
    </xf>
    <xf numFmtId="0" fontId="22" fillId="0" borderId="2" xfId="0" applyFont="1" applyFill="1" applyBorder="1" applyAlignment="1">
      <alignment horizontal="left" vertical="top"/>
    </xf>
    <xf numFmtId="0" fontId="21" fillId="0" borderId="2" xfId="0" applyFont="1" applyFill="1" applyBorder="1" applyAlignment="1">
      <alignment horizontal="left" vertical="top"/>
    </xf>
    <xf numFmtId="0" fontId="21" fillId="0" borderId="2" xfId="0" applyFont="1" applyFill="1" applyBorder="1" applyAlignment="1">
      <alignment horizontal="left" vertical="center"/>
    </xf>
    <xf numFmtId="170" fontId="21" fillId="0" borderId="2" xfId="0" applyNumberFormat="1" applyFont="1" applyFill="1" applyBorder="1" applyAlignment="1">
      <alignment horizontal="right" vertical="center"/>
    </xf>
    <xf numFmtId="171" fontId="21" fillId="0" borderId="2" xfId="0" applyNumberFormat="1" applyFont="1" applyFill="1" applyBorder="1" applyAlignment="1">
      <alignment horizontal="right" vertical="center"/>
    </xf>
    <xf numFmtId="0" fontId="23" fillId="0" borderId="2" xfId="0" applyFont="1" applyFill="1" applyBorder="1" applyAlignment="1">
      <alignment horizontal="left" vertical="top"/>
    </xf>
    <xf numFmtId="170" fontId="23" fillId="0" borderId="2" xfId="0" applyNumberFormat="1" applyFont="1" applyFill="1" applyBorder="1" applyAlignment="1">
      <alignment horizontal="left" vertical="top"/>
    </xf>
    <xf numFmtId="171" fontId="23" fillId="0" borderId="2" xfId="0" applyNumberFormat="1" applyFont="1" applyFill="1" applyBorder="1" applyAlignment="1">
      <alignment horizontal="left" vertical="top"/>
    </xf>
    <xf numFmtId="0" fontId="21" fillId="0" borderId="2" xfId="0" applyFont="1" applyFill="1" applyBorder="1" applyAlignment="1">
      <alignment horizontal="right" vertical="center" wrapText="1"/>
    </xf>
    <xf numFmtId="0" fontId="23" fillId="0" borderId="0" xfId="0" applyFont="1" applyFill="1" applyBorder="1" applyAlignment="1">
      <alignment horizontal="left" vertical="top"/>
    </xf>
    <xf numFmtId="170" fontId="23" fillId="0" borderId="0" xfId="0" applyNumberFormat="1" applyFont="1" applyFill="1" applyBorder="1" applyAlignment="1">
      <alignment horizontal="left" vertical="top"/>
    </xf>
    <xf numFmtId="171" fontId="23" fillId="0" borderId="0" xfId="0" applyNumberFormat="1" applyFont="1" applyFill="1" applyBorder="1" applyAlignment="1">
      <alignment horizontal="left" vertical="top"/>
    </xf>
    <xf numFmtId="0" fontId="21" fillId="0" borderId="2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 vertical="top"/>
    </xf>
    <xf numFmtId="0" fontId="7" fillId="0" borderId="0" xfId="0" applyFont="1" applyAlignment="1">
      <alignment wrapText="1"/>
    </xf>
    <xf numFmtId="0" fontId="3" fillId="0" borderId="0" xfId="0" applyFont="1" applyAlignment="1">
      <alignment horizontal="center"/>
    </xf>
  </cellXfs>
  <cellStyles count="16">
    <cellStyle name="Comma" xfId="1" builtinId="3"/>
    <cellStyle name="Currency" xfId="2" builtinId="4"/>
    <cellStyle name="Normal" xfId="0" builtinId="0"/>
    <cellStyle name="Normal 10" xfId="6"/>
    <cellStyle name="Normal 11" xfId="7"/>
    <cellStyle name="Normal 12" xfId="8"/>
    <cellStyle name="Normal 2" xfId="4"/>
    <cellStyle name="Normal 2 2" xfId="5"/>
    <cellStyle name="Normal 3" xfId="9"/>
    <cellStyle name="Normal 4" xfId="10"/>
    <cellStyle name="Normal 5" xfId="11"/>
    <cellStyle name="Normal 6" xfId="12"/>
    <cellStyle name="Normal 7" xfId="13"/>
    <cellStyle name="Normal 8" xfId="14"/>
    <cellStyle name="Normal 9" xfId="15"/>
    <cellStyle name="Percent" xfId="3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Q89"/>
  <sheetViews>
    <sheetView zoomScaleNormal="100" workbookViewId="0">
      <selection activeCell="I25" sqref="I25"/>
    </sheetView>
  </sheetViews>
  <sheetFormatPr defaultRowHeight="12.75"/>
  <cols>
    <col min="1" max="1" width="2.85546875" customWidth="1"/>
    <col min="2" max="2" width="19.5703125" customWidth="1"/>
    <col min="3" max="3" width="6.42578125" customWidth="1"/>
    <col min="4" max="4" width="13.5703125" customWidth="1"/>
    <col min="5" max="5" width="12.85546875" customWidth="1"/>
    <col min="6" max="6" width="13.140625" customWidth="1"/>
    <col min="7" max="7" width="12.5703125" customWidth="1"/>
    <col min="8" max="8" width="12.7109375" customWidth="1"/>
    <col min="9" max="9" width="12.140625" customWidth="1"/>
    <col min="10" max="10" width="12.7109375" customWidth="1"/>
    <col min="11" max="11" width="11.5703125" customWidth="1"/>
    <col min="12" max="13" width="11.42578125" customWidth="1"/>
    <col min="14" max="14" width="11.28515625" customWidth="1"/>
    <col min="15" max="15" width="11.42578125" customWidth="1"/>
    <col min="16" max="16" width="11.85546875" customWidth="1"/>
    <col min="17" max="17" width="12.7109375" customWidth="1"/>
    <col min="18" max="18" width="14" bestFit="1" customWidth="1"/>
    <col min="19" max="19" width="12.85546875" bestFit="1" customWidth="1"/>
    <col min="20" max="20" width="14" bestFit="1" customWidth="1"/>
  </cols>
  <sheetData>
    <row r="1" spans="1:17">
      <c r="A1" s="2" t="s">
        <v>66</v>
      </c>
    </row>
    <row r="2" spans="1:17">
      <c r="A2" s="2" t="s">
        <v>67</v>
      </c>
    </row>
    <row r="3" spans="1:17">
      <c r="A3" s="2" t="s">
        <v>68</v>
      </c>
    </row>
    <row r="4" spans="1:17" ht="25.5">
      <c r="A4" s="93" t="s">
        <v>69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</row>
    <row r="5" spans="1:17" ht="20.25">
      <c r="A5" s="94" t="s">
        <v>70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</row>
    <row r="6" spans="1:17">
      <c r="A6" s="2"/>
    </row>
    <row r="8" spans="1:17">
      <c r="A8" s="8" t="s">
        <v>20</v>
      </c>
      <c r="D8" s="52" t="s">
        <v>71</v>
      </c>
      <c r="E8" s="8" t="s">
        <v>72</v>
      </c>
      <c r="F8" s="6" t="s">
        <v>12</v>
      </c>
      <c r="G8" s="6" t="s">
        <v>13</v>
      </c>
      <c r="H8" s="6" t="s">
        <v>14</v>
      </c>
      <c r="I8" s="6" t="s">
        <v>15</v>
      </c>
      <c r="J8" s="6" t="s">
        <v>16</v>
      </c>
      <c r="K8" s="6" t="s">
        <v>17</v>
      </c>
      <c r="L8" s="6" t="s">
        <v>6</v>
      </c>
      <c r="M8" s="6" t="s">
        <v>7</v>
      </c>
      <c r="N8" s="6" t="s">
        <v>8</v>
      </c>
      <c r="O8" s="6" t="s">
        <v>9</v>
      </c>
      <c r="P8" s="6" t="s">
        <v>10</v>
      </c>
      <c r="Q8" s="6" t="s">
        <v>11</v>
      </c>
    </row>
    <row r="9" spans="1:17">
      <c r="A9" s="8" t="s">
        <v>73</v>
      </c>
    </row>
    <row r="10" spans="1:17">
      <c r="A10" t="s">
        <v>74</v>
      </c>
      <c r="D10" s="49">
        <v>124456548</v>
      </c>
      <c r="E10" s="49">
        <f>SUM(F10:Q10)</f>
        <v>124456548</v>
      </c>
      <c r="F10" s="49">
        <f t="shared" ref="F10:N10" si="0">H45</f>
        <v>20755627</v>
      </c>
      <c r="G10" s="49">
        <f t="shared" si="0"/>
        <v>22514347</v>
      </c>
      <c r="H10" s="49">
        <f t="shared" si="0"/>
        <v>14859076</v>
      </c>
      <c r="I10" s="49">
        <f t="shared" si="0"/>
        <v>13629159</v>
      </c>
      <c r="J10" s="49">
        <f t="shared" si="0"/>
        <v>8714627</v>
      </c>
      <c r="K10" s="49">
        <f t="shared" si="0"/>
        <v>4232714</v>
      </c>
      <c r="L10" s="49">
        <f t="shared" si="0"/>
        <v>2763613</v>
      </c>
      <c r="M10" s="49">
        <f t="shared" si="0"/>
        <v>2223233</v>
      </c>
      <c r="N10" s="49">
        <f t="shared" si="0"/>
        <v>2487966</v>
      </c>
      <c r="O10" s="49">
        <f>E45</f>
        <v>4484817</v>
      </c>
      <c r="P10" s="49">
        <f>F45</f>
        <v>9398517</v>
      </c>
      <c r="Q10" s="49">
        <f>G45</f>
        <v>18392852</v>
      </c>
    </row>
    <row r="11" spans="1:17">
      <c r="A11" t="s">
        <v>75</v>
      </c>
      <c r="D11" s="49">
        <f>-2516904-0.49</f>
        <v>-2516904.4900000002</v>
      </c>
      <c r="E11" s="49">
        <f>SUM(F11:Q11)</f>
        <v>-79369540.49000001</v>
      </c>
      <c r="F11" s="49">
        <f>-H77</f>
        <v>-12430831</v>
      </c>
      <c r="G11" s="49">
        <f t="shared" ref="G11:N11" si="1">-I77</f>
        <v>-13260094</v>
      </c>
      <c r="H11" s="49">
        <f t="shared" si="1"/>
        <v>-10089194</v>
      </c>
      <c r="I11" s="49">
        <f t="shared" si="1"/>
        <v>-9329893</v>
      </c>
      <c r="J11" s="49">
        <f t="shared" si="1"/>
        <v>-7012777</v>
      </c>
      <c r="K11" s="49">
        <f t="shared" si="1"/>
        <v>-3198435</v>
      </c>
      <c r="L11" s="49">
        <f t="shared" si="1"/>
        <v>-1795216</v>
      </c>
      <c r="M11" s="49">
        <f t="shared" si="1"/>
        <v>-1318706</v>
      </c>
      <c r="N11" s="49">
        <f t="shared" si="1"/>
        <v>-1383090</v>
      </c>
      <c r="O11" s="9">
        <f>-E80</f>
        <v>-2516904.4900000002</v>
      </c>
      <c r="P11" s="49">
        <f>-F77</f>
        <v>-6292391</v>
      </c>
      <c r="Q11" s="49">
        <f>-G77</f>
        <v>-10742009</v>
      </c>
    </row>
    <row r="12" spans="1:17">
      <c r="A12" t="s">
        <v>76</v>
      </c>
      <c r="D12" s="49">
        <f>1974771-0.49</f>
        <v>1974770.51</v>
      </c>
      <c r="E12" s="49">
        <f>SUM(F12:Q12)</f>
        <v>78827406.50999999</v>
      </c>
      <c r="F12" s="49">
        <f>I77</f>
        <v>13260094</v>
      </c>
      <c r="G12" s="49">
        <f t="shared" ref="G12:M12" si="2">J77</f>
        <v>10089194</v>
      </c>
      <c r="H12" s="49">
        <f t="shared" si="2"/>
        <v>9329893</v>
      </c>
      <c r="I12" s="49">
        <f t="shared" si="2"/>
        <v>7012777</v>
      </c>
      <c r="J12" s="49">
        <f t="shared" si="2"/>
        <v>3198435</v>
      </c>
      <c r="K12" s="49">
        <f t="shared" si="2"/>
        <v>1795216</v>
      </c>
      <c r="L12" s="49">
        <f t="shared" si="2"/>
        <v>1318706</v>
      </c>
      <c r="M12" s="49">
        <f t="shared" si="2"/>
        <v>1383090</v>
      </c>
      <c r="N12" s="9">
        <f>Q80</f>
        <v>1974770.51</v>
      </c>
      <c r="O12" s="49">
        <f>F77</f>
        <v>6292391</v>
      </c>
      <c r="P12" s="49">
        <f>G77</f>
        <v>10742009</v>
      </c>
      <c r="Q12" s="49">
        <f>H77</f>
        <v>12430831</v>
      </c>
    </row>
    <row r="13" spans="1:17" ht="15">
      <c r="A13" t="s">
        <v>77</v>
      </c>
      <c r="D13" s="53">
        <v>-5272984</v>
      </c>
      <c r="E13" s="49">
        <f>SUM(F13:Q13)</f>
        <v>-5272984</v>
      </c>
      <c r="F13" s="49">
        <f t="shared" ref="F13:N13" si="3">H61</f>
        <v>-1704132</v>
      </c>
      <c r="G13" s="49">
        <f t="shared" si="3"/>
        <v>-605820</v>
      </c>
      <c r="H13" s="49">
        <f t="shared" si="3"/>
        <v>-1754035</v>
      </c>
      <c r="I13" s="49">
        <f t="shared" si="3"/>
        <v>-1884742</v>
      </c>
      <c r="J13" s="49">
        <f t="shared" si="3"/>
        <v>654538</v>
      </c>
      <c r="K13" s="49">
        <f t="shared" si="3"/>
        <v>-427121</v>
      </c>
      <c r="L13" s="49">
        <f t="shared" si="3"/>
        <v>0</v>
      </c>
      <c r="M13" s="49">
        <f t="shared" si="3"/>
        <v>0</v>
      </c>
      <c r="N13" s="49">
        <f t="shared" si="3"/>
        <v>0</v>
      </c>
      <c r="O13" s="49">
        <f>E61</f>
        <v>-158578</v>
      </c>
      <c r="P13" s="49">
        <f>F61</f>
        <v>66481</v>
      </c>
      <c r="Q13" s="49">
        <f>G61</f>
        <v>540425</v>
      </c>
    </row>
    <row r="14" spans="1:17">
      <c r="A14" t="s">
        <v>78</v>
      </c>
      <c r="D14" s="49">
        <f t="shared" ref="D14:Q14" si="4">SUM(D10:D13)</f>
        <v>118641430.02000001</v>
      </c>
      <c r="E14" s="19">
        <f t="shared" si="4"/>
        <v>118641430.01999998</v>
      </c>
      <c r="F14" s="19">
        <f t="shared" si="4"/>
        <v>19880758</v>
      </c>
      <c r="G14" s="19">
        <f t="shared" si="4"/>
        <v>18737627</v>
      </c>
      <c r="H14" s="19">
        <f t="shared" si="4"/>
        <v>12345740</v>
      </c>
      <c r="I14" s="19">
        <f t="shared" si="4"/>
        <v>9427301</v>
      </c>
      <c r="J14" s="19">
        <f t="shared" si="4"/>
        <v>5554823</v>
      </c>
      <c r="K14" s="19">
        <f t="shared" si="4"/>
        <v>2402374</v>
      </c>
      <c r="L14" s="19">
        <f t="shared" si="4"/>
        <v>2287103</v>
      </c>
      <c r="M14" s="19">
        <f t="shared" si="4"/>
        <v>2287617</v>
      </c>
      <c r="N14" s="19">
        <f t="shared" si="4"/>
        <v>3079646.51</v>
      </c>
      <c r="O14" s="19">
        <f t="shared" si="4"/>
        <v>8101725.5099999998</v>
      </c>
      <c r="P14" s="19">
        <f t="shared" si="4"/>
        <v>13914616</v>
      </c>
      <c r="Q14" s="19">
        <f t="shared" si="4"/>
        <v>20622099</v>
      </c>
    </row>
    <row r="15" spans="1:17">
      <c r="D15" s="49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</row>
    <row r="16" spans="1:17" ht="15">
      <c r="B16" t="s">
        <v>79</v>
      </c>
      <c r="D16" s="49"/>
      <c r="E16" s="54">
        <f>D14-E14</f>
        <v>0</v>
      </c>
      <c r="F16" s="55">
        <v>0</v>
      </c>
      <c r="G16" s="55">
        <v>0</v>
      </c>
      <c r="H16" s="55">
        <v>0</v>
      </c>
      <c r="I16" s="55">
        <v>0</v>
      </c>
      <c r="J16" s="55">
        <v>0</v>
      </c>
      <c r="K16" s="55">
        <v>0</v>
      </c>
      <c r="L16" s="55">
        <v>0</v>
      </c>
      <c r="M16" s="55">
        <v>0</v>
      </c>
      <c r="N16" s="55">
        <f>D12-N12</f>
        <v>0</v>
      </c>
      <c r="O16" s="55">
        <f>D11-O11</f>
        <v>0</v>
      </c>
      <c r="P16" s="55">
        <v>0</v>
      </c>
      <c r="Q16" s="55">
        <v>0</v>
      </c>
    </row>
    <row r="17" spans="1:17">
      <c r="D17" s="49"/>
      <c r="E17" s="49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</row>
    <row r="18" spans="1:17">
      <c r="A18" t="s">
        <v>80</v>
      </c>
      <c r="D18" s="49"/>
      <c r="E18" s="49">
        <f>SUM(F18:Q18)</f>
        <v>118641430.02000001</v>
      </c>
      <c r="F18" s="18">
        <f t="shared" ref="F18:Q18" si="5">F14+F16</f>
        <v>19880758</v>
      </c>
      <c r="G18" s="18">
        <f t="shared" si="5"/>
        <v>18737627</v>
      </c>
      <c r="H18" s="18">
        <f t="shared" si="5"/>
        <v>12345740</v>
      </c>
      <c r="I18" s="18">
        <f t="shared" si="5"/>
        <v>9427301</v>
      </c>
      <c r="J18" s="18">
        <f t="shared" si="5"/>
        <v>5554823</v>
      </c>
      <c r="K18" s="18">
        <f t="shared" si="5"/>
        <v>2402374</v>
      </c>
      <c r="L18" s="18">
        <f t="shared" si="5"/>
        <v>2287103</v>
      </c>
      <c r="M18" s="18">
        <f t="shared" si="5"/>
        <v>2287617</v>
      </c>
      <c r="N18" s="18">
        <f t="shared" si="5"/>
        <v>3079646.51</v>
      </c>
      <c r="O18" s="18">
        <f t="shared" si="5"/>
        <v>8101725.5099999998</v>
      </c>
      <c r="P18" s="18">
        <f t="shared" si="5"/>
        <v>13914616</v>
      </c>
      <c r="Q18" s="18">
        <f t="shared" si="5"/>
        <v>20622099</v>
      </c>
    </row>
    <row r="19" spans="1:17">
      <c r="D19" s="49"/>
      <c r="E19" s="30"/>
    </row>
    <row r="20" spans="1:17">
      <c r="A20" s="8" t="s">
        <v>81</v>
      </c>
      <c r="D20" s="49"/>
    </row>
    <row r="21" spans="1:17">
      <c r="A21" t="s">
        <v>82</v>
      </c>
      <c r="D21" s="49">
        <v>1673784</v>
      </c>
      <c r="E21" s="49">
        <f>SUM(F21:Q21)</f>
        <v>1696522</v>
      </c>
      <c r="F21" s="18">
        <f>H89</f>
        <v>141580</v>
      </c>
      <c r="G21" s="18">
        <f t="shared" ref="G21:N21" si="6">I89</f>
        <v>141745</v>
      </c>
      <c r="H21" s="18">
        <f t="shared" si="6"/>
        <v>141763</v>
      </c>
      <c r="I21" s="18">
        <f t="shared" si="6"/>
        <v>141662</v>
      </c>
      <c r="J21" s="18">
        <f t="shared" si="6"/>
        <v>141566</v>
      </c>
      <c r="K21" s="18">
        <f t="shared" si="6"/>
        <v>141413</v>
      </c>
      <c r="L21" s="18">
        <f t="shared" si="6"/>
        <v>141354</v>
      </c>
      <c r="M21" s="18">
        <f t="shared" si="6"/>
        <v>141399</v>
      </c>
      <c r="N21" s="18">
        <f t="shared" si="6"/>
        <v>141829</v>
      </c>
      <c r="O21" s="18">
        <f>E89</f>
        <v>140039</v>
      </c>
      <c r="P21" s="18">
        <f>F89</f>
        <v>140930</v>
      </c>
      <c r="Q21" s="18">
        <f>G89</f>
        <v>141242</v>
      </c>
    </row>
    <row r="22" spans="1:17">
      <c r="A22" t="s">
        <v>83</v>
      </c>
      <c r="D22" s="49"/>
      <c r="E22" s="18">
        <f t="shared" ref="E22:Q22" si="7">E18/E21</f>
        <v>69.932149432780719</v>
      </c>
      <c r="F22" s="18">
        <f t="shared" si="7"/>
        <v>140.42066676084193</v>
      </c>
      <c r="G22" s="18">
        <f t="shared" si="7"/>
        <v>132.19250767222829</v>
      </c>
      <c r="H22" s="18">
        <f t="shared" si="7"/>
        <v>87.087180717112361</v>
      </c>
      <c r="I22" s="18">
        <f t="shared" si="7"/>
        <v>66.547846281995177</v>
      </c>
      <c r="J22" s="18">
        <f t="shared" si="7"/>
        <v>39.238397637850895</v>
      </c>
      <c r="K22" s="18">
        <f t="shared" si="7"/>
        <v>16.988353263137054</v>
      </c>
      <c r="L22" s="18">
        <f t="shared" si="7"/>
        <v>16.179966608656283</v>
      </c>
      <c r="M22" s="18">
        <f t="shared" si="7"/>
        <v>16.178452464303142</v>
      </c>
      <c r="N22" s="18">
        <f t="shared" si="7"/>
        <v>21.713799787067522</v>
      </c>
      <c r="O22" s="18">
        <f t="shared" si="7"/>
        <v>57.853351637758053</v>
      </c>
      <c r="P22" s="18">
        <f t="shared" si="7"/>
        <v>98.734236855176334</v>
      </c>
      <c r="Q22" s="18">
        <f t="shared" si="7"/>
        <v>146.00543039605782</v>
      </c>
    </row>
    <row r="23" spans="1:17">
      <c r="D23" s="49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</row>
    <row r="24" spans="1:17">
      <c r="D24" s="49"/>
      <c r="E24" s="56" t="s">
        <v>18</v>
      </c>
      <c r="F24" s="18" t="s">
        <v>20</v>
      </c>
      <c r="G24" s="18" t="s">
        <v>84</v>
      </c>
      <c r="H24" s="18"/>
      <c r="I24" s="18"/>
      <c r="J24" s="18"/>
      <c r="K24" s="18"/>
      <c r="L24" s="18"/>
      <c r="M24" s="18"/>
      <c r="N24" s="18"/>
      <c r="O24" s="18"/>
      <c r="P24" s="18"/>
      <c r="Q24" s="18"/>
    </row>
    <row r="25" spans="1:17">
      <c r="A25" s="1" t="s">
        <v>85</v>
      </c>
      <c r="E25" s="57">
        <f>1.13793+0.04967+0.00005</f>
        <v>1.1876500000000003</v>
      </c>
      <c r="F25" s="57">
        <f>1.13793+0.00005</f>
        <v>1.1379800000000002</v>
      </c>
      <c r="G25" s="58">
        <f>E25-F25</f>
        <v>4.9670000000000103E-2</v>
      </c>
    </row>
    <row r="26" spans="1:17">
      <c r="A26" s="1" t="s">
        <v>86</v>
      </c>
      <c r="E26" s="59">
        <v>0.95705899999999999</v>
      </c>
      <c r="F26" s="59">
        <v>0.95705899999999999</v>
      </c>
      <c r="G26" s="59">
        <v>0.95705899999999999</v>
      </c>
    </row>
    <row r="27" spans="1:17">
      <c r="A27" s="1" t="s">
        <v>87</v>
      </c>
      <c r="E27" s="60">
        <f>E25*E26</f>
        <v>1.1366511213500003</v>
      </c>
      <c r="F27" s="60">
        <f>F25*F26</f>
        <v>1.0891140008200002</v>
      </c>
      <c r="G27" s="60">
        <f>G25*G26</f>
        <v>4.7537120530000102E-2</v>
      </c>
      <c r="J27" s="61"/>
    </row>
    <row r="28" spans="1:17">
      <c r="A28" s="1" t="s">
        <v>88</v>
      </c>
      <c r="E28" s="62">
        <v>-0.89449000000000001</v>
      </c>
      <c r="F28" s="62">
        <f>E28+G27</f>
        <v>-0.84695287946999986</v>
      </c>
      <c r="G28" s="62">
        <f>E28-F28</f>
        <v>-4.7537120530000143E-2</v>
      </c>
    </row>
    <row r="29" spans="1:17">
      <c r="A29" s="2" t="s">
        <v>89</v>
      </c>
      <c r="E29" s="63">
        <f>E27+E28</f>
        <v>0.24216112135000034</v>
      </c>
      <c r="F29" s="63">
        <f>F27+F28</f>
        <v>0.24216112135000034</v>
      </c>
      <c r="G29" s="63">
        <f>G27+G28</f>
        <v>0</v>
      </c>
    </row>
    <row r="30" spans="1:17">
      <c r="D30" s="64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</row>
    <row r="33" spans="1:17">
      <c r="A33" s="1" t="s">
        <v>90</v>
      </c>
    </row>
    <row r="34" spans="1:17">
      <c r="A34" s="1" t="s">
        <v>91</v>
      </c>
    </row>
    <row r="35" spans="1:17">
      <c r="A35" s="1" t="s">
        <v>92</v>
      </c>
    </row>
    <row r="36" spans="1:17">
      <c r="A36" s="1" t="s">
        <v>93</v>
      </c>
    </row>
    <row r="37" spans="1:17">
      <c r="A37" s="1" t="s">
        <v>94</v>
      </c>
    </row>
    <row r="38" spans="1:17">
      <c r="A38" s="1" t="s">
        <v>95</v>
      </c>
    </row>
    <row r="39" spans="1:17" ht="25.5">
      <c r="A39" s="93" t="s">
        <v>69</v>
      </c>
      <c r="B39" s="93"/>
      <c r="C39" s="93"/>
      <c r="D39" s="93"/>
      <c r="E39" s="93"/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93"/>
    </row>
    <row r="40" spans="1:17" ht="20.25">
      <c r="A40" s="94" t="s">
        <v>96</v>
      </c>
      <c r="B40" s="94"/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4"/>
      <c r="Q40" s="94"/>
    </row>
    <row r="42" spans="1:17">
      <c r="A42" s="2" t="s">
        <v>97</v>
      </c>
    </row>
    <row r="43" spans="1:17">
      <c r="A43" s="2"/>
    </row>
    <row r="44" spans="1:17">
      <c r="A44" s="2"/>
      <c r="B44" s="2" t="s">
        <v>98</v>
      </c>
      <c r="E44" s="32">
        <v>39356</v>
      </c>
      <c r="F44" s="32">
        <v>39387</v>
      </c>
      <c r="G44" s="32">
        <v>39417</v>
      </c>
      <c r="H44" s="32">
        <v>39448</v>
      </c>
      <c r="I44" s="32">
        <v>39479</v>
      </c>
      <c r="J44" s="32">
        <v>39508</v>
      </c>
      <c r="K44" s="32">
        <v>39539</v>
      </c>
      <c r="L44" s="32">
        <v>39569</v>
      </c>
      <c r="M44" s="32">
        <v>39600</v>
      </c>
      <c r="N44" s="32">
        <v>39630</v>
      </c>
      <c r="O44" s="32">
        <v>39661</v>
      </c>
      <c r="P44" s="32">
        <v>39692</v>
      </c>
      <c r="Q44" s="33" t="s">
        <v>18</v>
      </c>
    </row>
    <row r="45" spans="1:17">
      <c r="A45" s="2"/>
      <c r="B45" t="s">
        <v>99</v>
      </c>
      <c r="E45" s="49">
        <v>4484817</v>
      </c>
      <c r="F45" s="49">
        <v>9398517</v>
      </c>
      <c r="G45" s="49">
        <v>18392852</v>
      </c>
      <c r="H45" s="49">
        <v>20755627</v>
      </c>
      <c r="I45" s="49">
        <v>22514347</v>
      </c>
      <c r="J45" s="49">
        <v>14859076</v>
      </c>
      <c r="K45" s="49">
        <v>13629159</v>
      </c>
      <c r="L45" s="49">
        <v>8714627</v>
      </c>
      <c r="M45" s="49">
        <v>4232714</v>
      </c>
      <c r="N45" s="49">
        <v>2763613</v>
      </c>
      <c r="O45" s="49">
        <v>2223233</v>
      </c>
      <c r="P45" s="49">
        <v>2487966</v>
      </c>
      <c r="Q45" s="49">
        <f>SUM(E45:P45)</f>
        <v>124456548</v>
      </c>
    </row>
    <row r="47" spans="1:17">
      <c r="B47" s="8" t="s">
        <v>37</v>
      </c>
    </row>
    <row r="48" spans="1:17">
      <c r="E48" s="32">
        <v>39356</v>
      </c>
      <c r="F48" s="32">
        <v>39387</v>
      </c>
      <c r="G48" s="32">
        <v>39417</v>
      </c>
      <c r="H48" s="32">
        <v>39448</v>
      </c>
      <c r="I48" s="32">
        <v>39479</v>
      </c>
      <c r="J48" s="32">
        <v>39508</v>
      </c>
      <c r="K48" s="32">
        <v>39539</v>
      </c>
      <c r="L48" s="32">
        <v>39569</v>
      </c>
      <c r="M48" s="32">
        <v>39600</v>
      </c>
      <c r="N48" s="32">
        <v>39630</v>
      </c>
      <c r="O48" s="32">
        <v>39661</v>
      </c>
      <c r="P48" s="32">
        <v>39692</v>
      </c>
      <c r="Q48" s="33" t="s">
        <v>18</v>
      </c>
    </row>
    <row r="49" spans="2:17">
      <c r="B49" s="34" t="s">
        <v>38</v>
      </c>
      <c r="E49">
        <v>541</v>
      </c>
      <c r="F49">
        <v>899</v>
      </c>
      <c r="G49">
        <v>1160</v>
      </c>
      <c r="H49">
        <v>1136</v>
      </c>
      <c r="I49">
        <v>914</v>
      </c>
      <c r="J49">
        <v>770</v>
      </c>
      <c r="K49">
        <v>542</v>
      </c>
      <c r="L49">
        <v>323</v>
      </c>
      <c r="M49">
        <v>144</v>
      </c>
      <c r="N49">
        <v>36</v>
      </c>
      <c r="O49">
        <v>35</v>
      </c>
      <c r="P49">
        <v>189</v>
      </c>
      <c r="Q49" s="49">
        <f>SUM(E49:P49)</f>
        <v>6689</v>
      </c>
    </row>
    <row r="50" spans="2:17">
      <c r="B50" t="s">
        <v>39</v>
      </c>
      <c r="E50">
        <v>553</v>
      </c>
      <c r="F50">
        <v>894</v>
      </c>
      <c r="G50">
        <v>1126</v>
      </c>
      <c r="H50">
        <v>1243</v>
      </c>
      <c r="I50">
        <v>952</v>
      </c>
      <c r="J50">
        <v>880</v>
      </c>
      <c r="K50">
        <v>683</v>
      </c>
      <c r="L50">
        <v>274</v>
      </c>
      <c r="M50">
        <v>176</v>
      </c>
      <c r="N50">
        <v>8</v>
      </c>
      <c r="O50">
        <v>52</v>
      </c>
      <c r="P50">
        <v>142</v>
      </c>
      <c r="Q50" s="49">
        <f>SUM(E50:P50)</f>
        <v>6983</v>
      </c>
    </row>
    <row r="51" spans="2:17">
      <c r="B51" s="2" t="s">
        <v>40</v>
      </c>
      <c r="E51" s="37">
        <f>E49-E50</f>
        <v>-12</v>
      </c>
      <c r="F51" s="37">
        <f>F49-F50</f>
        <v>5</v>
      </c>
      <c r="G51" s="37">
        <f>G49-G50</f>
        <v>34</v>
      </c>
      <c r="H51" s="37">
        <f>H49-H50</f>
        <v>-107</v>
      </c>
      <c r="I51" s="37">
        <f t="shared" ref="I51:P51" si="8">I49-I50</f>
        <v>-38</v>
      </c>
      <c r="J51" s="37">
        <f t="shared" si="8"/>
        <v>-110</v>
      </c>
      <c r="K51" s="37">
        <f t="shared" si="8"/>
        <v>-141</v>
      </c>
      <c r="L51" s="37">
        <f t="shared" si="8"/>
        <v>49</v>
      </c>
      <c r="M51" s="37">
        <f t="shared" si="8"/>
        <v>-32</v>
      </c>
      <c r="N51" s="37">
        <f t="shared" si="8"/>
        <v>28</v>
      </c>
      <c r="O51" s="37">
        <f t="shared" si="8"/>
        <v>-17</v>
      </c>
      <c r="P51" s="37">
        <f t="shared" si="8"/>
        <v>47</v>
      </c>
      <c r="Q51" s="37">
        <f>SUM(E51:P51)</f>
        <v>-294</v>
      </c>
    </row>
    <row r="52" spans="2:17">
      <c r="B52" s="2"/>
      <c r="C52" s="38"/>
      <c r="D52" s="39" t="s">
        <v>41</v>
      </c>
    </row>
    <row r="53" spans="2:17">
      <c r="B53" t="s">
        <v>42</v>
      </c>
      <c r="D53" s="33" t="s">
        <v>43</v>
      </c>
      <c r="E53" s="40">
        <v>8.77E-2</v>
      </c>
      <c r="F53" s="40">
        <v>8.77E-2</v>
      </c>
      <c r="G53" s="40">
        <v>0.1002</v>
      </c>
      <c r="H53" s="40">
        <v>0.1002</v>
      </c>
      <c r="I53" s="40">
        <v>0.1002</v>
      </c>
      <c r="J53" s="40">
        <v>0.1002</v>
      </c>
      <c r="K53" s="40">
        <v>8.77E-2</v>
      </c>
      <c r="L53" s="40">
        <v>8.77E-2</v>
      </c>
      <c r="M53" s="40">
        <v>8.77E-2</v>
      </c>
      <c r="N53" s="40">
        <v>0</v>
      </c>
      <c r="O53" s="40">
        <v>0</v>
      </c>
      <c r="P53" s="40">
        <v>0</v>
      </c>
    </row>
    <row r="54" spans="2:17">
      <c r="B54" t="s">
        <v>44</v>
      </c>
      <c r="D54" s="33" t="s">
        <v>43</v>
      </c>
      <c r="E54" s="40">
        <v>0.16700000000000001</v>
      </c>
      <c r="F54" s="40">
        <v>0.16700000000000001</v>
      </c>
      <c r="G54" s="40">
        <v>0.2467</v>
      </c>
      <c r="H54" s="40">
        <v>0.2467</v>
      </c>
      <c r="I54" s="40">
        <v>0.2467</v>
      </c>
      <c r="J54" s="40">
        <v>0.2467</v>
      </c>
      <c r="K54" s="40">
        <v>0.16700000000000001</v>
      </c>
      <c r="L54" s="40">
        <v>0.16700000000000001</v>
      </c>
      <c r="M54" s="40">
        <v>0.16700000000000001</v>
      </c>
      <c r="N54" s="40">
        <v>0</v>
      </c>
      <c r="O54" s="40">
        <v>0</v>
      </c>
      <c r="P54" s="40">
        <v>0</v>
      </c>
    </row>
    <row r="55" spans="2:17">
      <c r="B55" t="s">
        <v>45</v>
      </c>
      <c r="D55" s="33" t="s">
        <v>43</v>
      </c>
      <c r="E55" s="40">
        <v>0.29609999999999997</v>
      </c>
      <c r="F55" s="40">
        <v>0.29609999999999997</v>
      </c>
      <c r="G55" s="40">
        <v>0.42659999999999998</v>
      </c>
      <c r="H55" s="40">
        <v>0.42659999999999998</v>
      </c>
      <c r="I55" s="40">
        <v>0.42659999999999998</v>
      </c>
      <c r="J55" s="40">
        <v>0.42659999999999998</v>
      </c>
      <c r="K55" s="40">
        <v>0.29609999999999997</v>
      </c>
      <c r="L55" s="40">
        <v>0.29609999999999997</v>
      </c>
      <c r="M55" s="40">
        <v>0.29609999999999997</v>
      </c>
      <c r="N55" s="40">
        <v>0</v>
      </c>
      <c r="O55" s="40">
        <v>0</v>
      </c>
      <c r="P55" s="40">
        <v>0</v>
      </c>
    </row>
    <row r="56" spans="2:17">
      <c r="C56" s="41"/>
    </row>
    <row r="57" spans="2:17">
      <c r="B57" s="8" t="s">
        <v>46</v>
      </c>
      <c r="C57" s="41"/>
      <c r="D57" s="41"/>
    </row>
    <row r="58" spans="2:17">
      <c r="B58" t="s">
        <v>42</v>
      </c>
      <c r="E58" s="49">
        <f t="shared" ref="E58:P60" si="9">ROUND(E$51*E53*E85,0)</f>
        <v>-135098</v>
      </c>
      <c r="F58" s="49">
        <f t="shared" si="9"/>
        <v>56662</v>
      </c>
      <c r="G58" s="49">
        <f t="shared" si="9"/>
        <v>440922</v>
      </c>
      <c r="H58" s="49">
        <f t="shared" si="9"/>
        <v>-1391380</v>
      </c>
      <c r="I58" s="49">
        <f t="shared" si="9"/>
        <v>-494763</v>
      </c>
      <c r="J58" s="49">
        <f t="shared" si="9"/>
        <v>-1432309</v>
      </c>
      <c r="K58" s="49">
        <f t="shared" si="9"/>
        <v>-1605822</v>
      </c>
      <c r="L58" s="49">
        <f t="shared" si="9"/>
        <v>557674</v>
      </c>
      <c r="M58" s="49">
        <f t="shared" si="9"/>
        <v>-363653</v>
      </c>
      <c r="N58" s="49">
        <f t="shared" si="9"/>
        <v>0</v>
      </c>
      <c r="O58" s="49">
        <f t="shared" si="9"/>
        <v>0</v>
      </c>
      <c r="P58" s="49">
        <f t="shared" si="9"/>
        <v>0</v>
      </c>
      <c r="Q58" s="49">
        <f>SUM(E58:P58)</f>
        <v>-4367767</v>
      </c>
    </row>
    <row r="59" spans="2:17">
      <c r="B59" t="s">
        <v>44</v>
      </c>
      <c r="E59" s="49">
        <f t="shared" si="9"/>
        <v>-23150</v>
      </c>
      <c r="F59" s="49">
        <f t="shared" si="9"/>
        <v>9683</v>
      </c>
      <c r="G59" s="49">
        <f t="shared" si="9"/>
        <v>98154</v>
      </c>
      <c r="H59" s="49">
        <f t="shared" si="9"/>
        <v>-308553</v>
      </c>
      <c r="I59" s="49">
        <f t="shared" si="9"/>
        <v>-109598</v>
      </c>
      <c r="J59" s="49">
        <f t="shared" si="9"/>
        <v>-317503</v>
      </c>
      <c r="K59" s="49">
        <f t="shared" si="9"/>
        <v>-275288</v>
      </c>
      <c r="L59" s="49">
        <f t="shared" si="9"/>
        <v>95602</v>
      </c>
      <c r="M59" s="49">
        <f t="shared" si="9"/>
        <v>-62653</v>
      </c>
      <c r="N59" s="49">
        <f t="shared" si="9"/>
        <v>0</v>
      </c>
      <c r="O59" s="49">
        <f t="shared" si="9"/>
        <v>0</v>
      </c>
      <c r="P59" s="49">
        <f t="shared" si="9"/>
        <v>0</v>
      </c>
      <c r="Q59" s="49">
        <f>SUM(E59:P59)</f>
        <v>-893306</v>
      </c>
    </row>
    <row r="60" spans="2:17">
      <c r="B60" t="s">
        <v>45</v>
      </c>
      <c r="E60" s="49">
        <f t="shared" si="9"/>
        <v>-330</v>
      </c>
      <c r="F60" s="49">
        <f t="shared" si="9"/>
        <v>136</v>
      </c>
      <c r="G60" s="49">
        <f t="shared" si="9"/>
        <v>1349</v>
      </c>
      <c r="H60" s="49">
        <f t="shared" si="9"/>
        <v>-4199</v>
      </c>
      <c r="I60" s="49">
        <f t="shared" si="9"/>
        <v>-1459</v>
      </c>
      <c r="J60" s="49">
        <f t="shared" si="9"/>
        <v>-4223</v>
      </c>
      <c r="K60" s="49">
        <f t="shared" si="9"/>
        <v>-3632</v>
      </c>
      <c r="L60" s="49">
        <f t="shared" si="9"/>
        <v>1262</v>
      </c>
      <c r="M60" s="49">
        <f t="shared" si="9"/>
        <v>-815</v>
      </c>
      <c r="N60" s="49">
        <f t="shared" si="9"/>
        <v>0</v>
      </c>
      <c r="O60" s="49">
        <f t="shared" si="9"/>
        <v>0</v>
      </c>
      <c r="P60" s="49">
        <f t="shared" si="9"/>
        <v>0</v>
      </c>
      <c r="Q60" s="49">
        <f>SUM(E60:P60)</f>
        <v>-11911</v>
      </c>
    </row>
    <row r="61" spans="2:17">
      <c r="B61" t="s">
        <v>47</v>
      </c>
      <c r="E61" s="65">
        <f>SUM(E58:E60)</f>
        <v>-158578</v>
      </c>
      <c r="F61" s="65">
        <f>SUM(F58:F60)</f>
        <v>66481</v>
      </c>
      <c r="G61" s="65">
        <f>SUM(G58:G60)</f>
        <v>540425</v>
      </c>
      <c r="H61" s="65">
        <f t="shared" ref="H61:Q61" si="10">SUM(H58:H60)</f>
        <v>-1704132</v>
      </c>
      <c r="I61" s="65">
        <f t="shared" si="10"/>
        <v>-605820</v>
      </c>
      <c r="J61" s="65">
        <f t="shared" si="10"/>
        <v>-1754035</v>
      </c>
      <c r="K61" s="65">
        <f t="shared" si="10"/>
        <v>-1884742</v>
      </c>
      <c r="L61" s="65">
        <f t="shared" si="10"/>
        <v>654538</v>
      </c>
      <c r="M61" s="65">
        <f t="shared" si="10"/>
        <v>-427121</v>
      </c>
      <c r="N61" s="65">
        <f t="shared" si="10"/>
        <v>0</v>
      </c>
      <c r="O61" s="65">
        <f t="shared" si="10"/>
        <v>0</v>
      </c>
      <c r="P61" s="65">
        <f t="shared" si="10"/>
        <v>0</v>
      </c>
      <c r="Q61" s="65">
        <f t="shared" si="10"/>
        <v>-5272984</v>
      </c>
    </row>
    <row r="64" spans="2:17">
      <c r="B64" s="8" t="s">
        <v>48</v>
      </c>
      <c r="E64" s="66"/>
    </row>
    <row r="65" spans="2:17">
      <c r="B65" s="44"/>
      <c r="E65" s="45">
        <v>39326</v>
      </c>
      <c r="F65" s="45">
        <v>39356</v>
      </c>
      <c r="G65" s="45">
        <v>39387</v>
      </c>
      <c r="H65" s="45">
        <v>39417</v>
      </c>
      <c r="I65" s="45">
        <v>39448</v>
      </c>
      <c r="J65" s="45">
        <v>39479</v>
      </c>
      <c r="K65" s="45">
        <v>39508</v>
      </c>
      <c r="L65" s="45">
        <v>39539</v>
      </c>
      <c r="M65" s="45">
        <v>39569</v>
      </c>
      <c r="N65" s="45">
        <v>39600</v>
      </c>
      <c r="O65" s="45">
        <v>39630</v>
      </c>
      <c r="P65" s="45">
        <v>39661</v>
      </c>
      <c r="Q65" s="45">
        <v>39692</v>
      </c>
    </row>
    <row r="66" spans="2:17">
      <c r="B66" t="s">
        <v>100</v>
      </c>
      <c r="E66" s="67">
        <v>161.9</v>
      </c>
      <c r="F66" s="1">
        <v>377.3</v>
      </c>
      <c r="G66" s="67">
        <v>642.79999999999995</v>
      </c>
      <c r="H66">
        <v>702.2</v>
      </c>
      <c r="I66" s="67">
        <v>756.7</v>
      </c>
      <c r="J66" s="1">
        <v>554.29999999999995</v>
      </c>
      <c r="K66" s="67">
        <v>549</v>
      </c>
      <c r="L66" s="67">
        <v>424.2</v>
      </c>
      <c r="M66" s="67">
        <v>140.1</v>
      </c>
      <c r="N66" s="67">
        <v>71.2</v>
      </c>
      <c r="O66" s="67">
        <v>4.7</v>
      </c>
      <c r="P66" s="67">
        <v>45.9</v>
      </c>
      <c r="Q66" s="67">
        <v>101.5</v>
      </c>
    </row>
    <row r="67" spans="2:17">
      <c r="B67" t="s">
        <v>101</v>
      </c>
      <c r="E67" s="46">
        <v>0.60950000000000004</v>
      </c>
      <c r="F67" s="46">
        <v>0.63290000000000002</v>
      </c>
      <c r="G67" s="46">
        <v>0.66190000000000004</v>
      </c>
      <c r="H67" s="68">
        <v>0.60980000000000001</v>
      </c>
      <c r="I67" s="46">
        <v>0.57909999999999995</v>
      </c>
      <c r="J67" s="46">
        <v>0.59930000000000005</v>
      </c>
      <c r="K67" s="46">
        <v>0.6129</v>
      </c>
      <c r="L67" s="46">
        <v>0.64290000000000003</v>
      </c>
      <c r="M67" s="46">
        <v>0.63590000000000002</v>
      </c>
      <c r="N67" s="46">
        <v>0.63329999999999997</v>
      </c>
      <c r="O67" s="46">
        <v>0.63290000000000002</v>
      </c>
      <c r="P67" s="46">
        <v>0.66359999999999997</v>
      </c>
      <c r="Q67" s="46">
        <v>0.62860000000000005</v>
      </c>
    </row>
    <row r="68" spans="2:17">
      <c r="B68" s="2"/>
      <c r="C68" s="38" t="s">
        <v>51</v>
      </c>
      <c r="D68" s="39" t="s">
        <v>41</v>
      </c>
      <c r="E68" s="46"/>
      <c r="F68" s="46"/>
      <c r="G68" s="46"/>
      <c r="H68" s="68"/>
      <c r="I68" s="46"/>
      <c r="J68" s="46"/>
      <c r="K68" s="46"/>
      <c r="L68" s="46"/>
      <c r="M68" s="46"/>
      <c r="N68" s="46"/>
      <c r="O68" s="46"/>
      <c r="P68" s="46"/>
      <c r="Q68" s="46"/>
    </row>
    <row r="69" spans="2:17">
      <c r="B69" t="s">
        <v>42</v>
      </c>
      <c r="C69" s="48">
        <v>15</v>
      </c>
      <c r="D69" s="33" t="s">
        <v>43</v>
      </c>
      <c r="E69" s="40">
        <f>(E53+P53)/2</f>
        <v>4.385E-2</v>
      </c>
      <c r="F69" s="40">
        <f>(E53+F53)/2</f>
        <v>8.77E-2</v>
      </c>
      <c r="G69" s="40">
        <f t="shared" ref="G69:P69" si="11">(F53+G53)/2</f>
        <v>9.3950000000000006E-2</v>
      </c>
      <c r="H69" s="40">
        <f t="shared" si="11"/>
        <v>0.1002</v>
      </c>
      <c r="I69" s="40">
        <f t="shared" si="11"/>
        <v>0.1002</v>
      </c>
      <c r="J69" s="40">
        <f t="shared" si="11"/>
        <v>0.1002</v>
      </c>
      <c r="K69" s="40">
        <f t="shared" si="11"/>
        <v>9.3950000000000006E-2</v>
      </c>
      <c r="L69" s="40">
        <f t="shared" si="11"/>
        <v>8.77E-2</v>
      </c>
      <c r="M69" s="40">
        <f t="shared" si="11"/>
        <v>8.77E-2</v>
      </c>
      <c r="N69" s="40">
        <f t="shared" si="11"/>
        <v>4.385E-2</v>
      </c>
      <c r="O69" s="40">
        <f t="shared" si="11"/>
        <v>0</v>
      </c>
      <c r="P69" s="40">
        <f t="shared" si="11"/>
        <v>0</v>
      </c>
      <c r="Q69" s="40">
        <f>(P53+E53)/2</f>
        <v>4.385E-2</v>
      </c>
    </row>
    <row r="70" spans="2:17">
      <c r="B70" t="s">
        <v>44</v>
      </c>
      <c r="C70" s="48">
        <v>12</v>
      </c>
      <c r="D70" s="33" t="s">
        <v>43</v>
      </c>
      <c r="E70" s="40">
        <f>(E54+P54)/2</f>
        <v>8.3500000000000005E-2</v>
      </c>
      <c r="F70" s="40">
        <f t="shared" ref="F70:P71" si="12">(E54+F54)/2</f>
        <v>0.16700000000000001</v>
      </c>
      <c r="G70" s="40">
        <f t="shared" si="12"/>
        <v>0.20685000000000001</v>
      </c>
      <c r="H70" s="40">
        <f t="shared" si="12"/>
        <v>0.2467</v>
      </c>
      <c r="I70" s="40">
        <f t="shared" si="12"/>
        <v>0.2467</v>
      </c>
      <c r="J70" s="40">
        <f t="shared" si="12"/>
        <v>0.2467</v>
      </c>
      <c r="K70" s="40">
        <f t="shared" si="12"/>
        <v>0.20685000000000001</v>
      </c>
      <c r="L70" s="40">
        <f t="shared" si="12"/>
        <v>0.16700000000000001</v>
      </c>
      <c r="M70" s="40">
        <f t="shared" si="12"/>
        <v>0.16700000000000001</v>
      </c>
      <c r="N70" s="40">
        <f t="shared" si="12"/>
        <v>8.3500000000000005E-2</v>
      </c>
      <c r="O70" s="40">
        <f t="shared" si="12"/>
        <v>0</v>
      </c>
      <c r="P70" s="40">
        <f t="shared" si="12"/>
        <v>0</v>
      </c>
      <c r="Q70" s="40">
        <f>(P54+E54)/2</f>
        <v>8.3500000000000005E-2</v>
      </c>
    </row>
    <row r="71" spans="2:17">
      <c r="B71" t="s">
        <v>45</v>
      </c>
      <c r="C71" s="48">
        <v>0</v>
      </c>
      <c r="D71" s="33" t="s">
        <v>43</v>
      </c>
      <c r="E71" s="40">
        <f>(E55+P55)/2</f>
        <v>0.14804999999999999</v>
      </c>
      <c r="F71" s="40">
        <f t="shared" si="12"/>
        <v>0.29609999999999997</v>
      </c>
      <c r="G71" s="40">
        <f t="shared" si="12"/>
        <v>0.36134999999999995</v>
      </c>
      <c r="H71" s="40">
        <f t="shared" si="12"/>
        <v>0.42659999999999998</v>
      </c>
      <c r="I71" s="40">
        <f t="shared" si="12"/>
        <v>0.42659999999999998</v>
      </c>
      <c r="J71" s="40">
        <f t="shared" si="12"/>
        <v>0.42659999999999998</v>
      </c>
      <c r="K71" s="40">
        <f t="shared" si="12"/>
        <v>0.36134999999999995</v>
      </c>
      <c r="L71" s="40">
        <f t="shared" si="12"/>
        <v>0.29609999999999997</v>
      </c>
      <c r="M71" s="40">
        <f t="shared" si="12"/>
        <v>0.29609999999999997</v>
      </c>
      <c r="N71" s="40">
        <f t="shared" si="12"/>
        <v>0.14804999999999999</v>
      </c>
      <c r="O71" s="40">
        <f t="shared" si="12"/>
        <v>0</v>
      </c>
      <c r="P71" s="40">
        <f t="shared" si="12"/>
        <v>0</v>
      </c>
      <c r="Q71" s="40">
        <f>(P55+E55)/2</f>
        <v>0.14804999999999999</v>
      </c>
    </row>
    <row r="72" spans="2:17">
      <c r="D72" s="41"/>
      <c r="E72" s="46"/>
      <c r="F72" s="46"/>
      <c r="G72" s="46"/>
      <c r="H72" s="68"/>
      <c r="I72" s="46"/>
      <c r="J72" s="46"/>
      <c r="K72" s="46"/>
      <c r="L72" s="46"/>
      <c r="M72" s="46"/>
      <c r="N72" s="46"/>
      <c r="O72" s="46"/>
      <c r="P72" s="46"/>
      <c r="Q72" s="46"/>
    </row>
    <row r="73" spans="2:17">
      <c r="B73" s="8" t="s">
        <v>46</v>
      </c>
      <c r="C73" s="38"/>
      <c r="D73" s="33"/>
      <c r="E73" s="46"/>
      <c r="F73" s="46"/>
      <c r="G73" s="46"/>
      <c r="H73" s="68"/>
      <c r="I73" s="46"/>
      <c r="J73" s="46"/>
      <c r="K73" s="46"/>
      <c r="L73" s="46"/>
      <c r="M73" s="46"/>
      <c r="N73" s="46"/>
      <c r="O73" s="46"/>
      <c r="P73" s="46"/>
      <c r="Q73" s="46"/>
    </row>
    <row r="74" spans="2:17">
      <c r="B74" t="s">
        <v>42</v>
      </c>
      <c r="E74" s="49">
        <f t="shared" ref="E74:Q76" si="13">ROUND((E$66*E69)*D85,0)+ROUND(($C69*E$67)*D85,0)</f>
        <v>2077295</v>
      </c>
      <c r="F74" s="49">
        <f t="shared" si="13"/>
        <v>5466385</v>
      </c>
      <c r="G74" s="49">
        <f t="shared" si="13"/>
        <v>9086553</v>
      </c>
      <c r="H74" s="49">
        <f t="shared" si="13"/>
        <v>10290171</v>
      </c>
      <c r="I74" s="49">
        <f t="shared" si="13"/>
        <v>10967089</v>
      </c>
      <c r="J74" s="49">
        <f t="shared" si="13"/>
        <v>8385140</v>
      </c>
      <c r="K74" s="49">
        <f t="shared" si="13"/>
        <v>7897328</v>
      </c>
      <c r="L74" s="49">
        <f t="shared" si="13"/>
        <v>6083448</v>
      </c>
      <c r="M74" s="49">
        <f t="shared" si="13"/>
        <v>2832331</v>
      </c>
      <c r="N74" s="49">
        <f t="shared" si="13"/>
        <v>1635509</v>
      </c>
      <c r="O74" s="49">
        <f t="shared" si="13"/>
        <v>1229968</v>
      </c>
      <c r="P74" s="49">
        <f t="shared" si="13"/>
        <v>1289929</v>
      </c>
      <c r="Q74" s="49">
        <f t="shared" si="13"/>
        <v>1804731</v>
      </c>
    </row>
    <row r="75" spans="2:17">
      <c r="B75" t="s">
        <v>44</v>
      </c>
      <c r="E75" s="49">
        <f t="shared" si="13"/>
        <v>240638</v>
      </c>
      <c r="F75" s="49">
        <f t="shared" si="13"/>
        <v>815616</v>
      </c>
      <c r="G75" s="49">
        <f t="shared" si="13"/>
        <v>1634087</v>
      </c>
      <c r="H75" s="49">
        <f t="shared" si="13"/>
        <v>2112801</v>
      </c>
      <c r="I75" s="49">
        <f t="shared" si="13"/>
        <v>2263307</v>
      </c>
      <c r="J75" s="49">
        <f t="shared" si="13"/>
        <v>1682772</v>
      </c>
      <c r="K75" s="49">
        <f t="shared" si="13"/>
        <v>1414711</v>
      </c>
      <c r="L75" s="49">
        <f t="shared" si="13"/>
        <v>918401</v>
      </c>
      <c r="M75" s="49">
        <f t="shared" si="13"/>
        <v>362495</v>
      </c>
      <c r="N75" s="49">
        <f t="shared" si="13"/>
        <v>158800</v>
      </c>
      <c r="O75" s="49">
        <f t="shared" si="13"/>
        <v>88738</v>
      </c>
      <c r="P75" s="49">
        <f t="shared" si="13"/>
        <v>93161</v>
      </c>
      <c r="Q75" s="49">
        <f t="shared" si="13"/>
        <v>187288</v>
      </c>
    </row>
    <row r="76" spans="2:17">
      <c r="B76" t="s">
        <v>45</v>
      </c>
      <c r="E76" s="49">
        <f t="shared" si="13"/>
        <v>2277</v>
      </c>
      <c r="F76" s="49">
        <f t="shared" si="13"/>
        <v>10390</v>
      </c>
      <c r="G76" s="49">
        <f t="shared" si="13"/>
        <v>21369</v>
      </c>
      <c r="H76" s="49">
        <f t="shared" si="13"/>
        <v>27859</v>
      </c>
      <c r="I76" s="49">
        <f t="shared" si="13"/>
        <v>29698</v>
      </c>
      <c r="J76" s="49">
        <f t="shared" si="13"/>
        <v>21282</v>
      </c>
      <c r="K76" s="49">
        <f t="shared" si="13"/>
        <v>17854</v>
      </c>
      <c r="L76" s="49">
        <f t="shared" si="13"/>
        <v>10928</v>
      </c>
      <c r="M76" s="49">
        <f t="shared" si="13"/>
        <v>3609</v>
      </c>
      <c r="N76" s="49">
        <f t="shared" si="13"/>
        <v>907</v>
      </c>
      <c r="O76" s="49">
        <f t="shared" si="13"/>
        <v>0</v>
      </c>
      <c r="P76" s="49">
        <f t="shared" si="13"/>
        <v>0</v>
      </c>
      <c r="Q76" s="49">
        <f t="shared" si="13"/>
        <v>1292</v>
      </c>
    </row>
    <row r="77" spans="2:17">
      <c r="B77" t="s">
        <v>52</v>
      </c>
      <c r="E77" s="65">
        <f>SUM(E74:E76)</f>
        <v>2320210</v>
      </c>
      <c r="F77" s="65">
        <f>SUM(F74:F76)</f>
        <v>6292391</v>
      </c>
      <c r="G77" s="65">
        <f>SUM(G74:G76)</f>
        <v>10742009</v>
      </c>
      <c r="H77" s="65">
        <f>SUM(H74:H76)</f>
        <v>12430831</v>
      </c>
      <c r="I77" s="65">
        <f t="shared" ref="I77:Q77" si="14">SUM(I74:I76)</f>
        <v>13260094</v>
      </c>
      <c r="J77" s="65">
        <f t="shared" si="14"/>
        <v>10089194</v>
      </c>
      <c r="K77" s="65">
        <f t="shared" si="14"/>
        <v>9329893</v>
      </c>
      <c r="L77" s="65">
        <f t="shared" si="14"/>
        <v>7012777</v>
      </c>
      <c r="M77" s="65">
        <f t="shared" si="14"/>
        <v>3198435</v>
      </c>
      <c r="N77" s="65">
        <f t="shared" si="14"/>
        <v>1795216</v>
      </c>
      <c r="O77" s="65">
        <f t="shared" si="14"/>
        <v>1318706</v>
      </c>
      <c r="P77" s="65">
        <f t="shared" si="14"/>
        <v>1383090</v>
      </c>
      <c r="Q77" s="65">
        <f t="shared" si="14"/>
        <v>1993311</v>
      </c>
    </row>
    <row r="79" spans="2:17">
      <c r="B79" t="s">
        <v>53</v>
      </c>
      <c r="E79" s="30">
        <f>E80-E77</f>
        <v>196694.49000000022</v>
      </c>
      <c r="Q79" s="30">
        <f>Q80-Q77</f>
        <v>-18540.489999999991</v>
      </c>
    </row>
    <row r="80" spans="2:17">
      <c r="B80" t="s">
        <v>54</v>
      </c>
      <c r="E80" s="69">
        <f>2516904+0.49</f>
        <v>2516904.4900000002</v>
      </c>
      <c r="Q80" s="69">
        <f>1974771-0.49</f>
        <v>1974770.51</v>
      </c>
    </row>
    <row r="83" spans="2:17">
      <c r="B83" s="2" t="s">
        <v>55</v>
      </c>
    </row>
    <row r="84" spans="2:17">
      <c r="B84" s="2"/>
      <c r="C84" t="s">
        <v>56</v>
      </c>
      <c r="D84" s="45">
        <v>39326</v>
      </c>
      <c r="E84" s="45">
        <v>39356</v>
      </c>
      <c r="F84" s="45">
        <v>39387</v>
      </c>
      <c r="G84" s="45">
        <v>39417</v>
      </c>
      <c r="H84" s="45">
        <v>39448</v>
      </c>
      <c r="I84" s="45">
        <v>39479</v>
      </c>
      <c r="J84" s="45">
        <v>39508</v>
      </c>
      <c r="K84" s="45">
        <v>39539</v>
      </c>
      <c r="L84" s="45">
        <v>39569</v>
      </c>
      <c r="M84" s="45">
        <v>39600</v>
      </c>
      <c r="N84" s="45">
        <v>39630</v>
      </c>
      <c r="O84" s="45">
        <v>39661</v>
      </c>
      <c r="P84" s="45">
        <v>39692</v>
      </c>
      <c r="Q84" s="50" t="s">
        <v>57</v>
      </c>
    </row>
    <row r="85" spans="2:17">
      <c r="B85" t="s">
        <v>58</v>
      </c>
      <c r="C85" s="51" t="s">
        <v>59</v>
      </c>
      <c r="D85" s="49">
        <v>127898</v>
      </c>
      <c r="E85" s="49">
        <v>128371</v>
      </c>
      <c r="F85" s="49">
        <v>129218</v>
      </c>
      <c r="G85" s="49">
        <v>129424</v>
      </c>
      <c r="H85" s="49">
        <v>129776</v>
      </c>
      <c r="I85" s="49">
        <v>129941</v>
      </c>
      <c r="J85" s="49">
        <v>129950</v>
      </c>
      <c r="K85" s="49">
        <v>129861</v>
      </c>
      <c r="L85" s="49">
        <v>129773</v>
      </c>
      <c r="M85" s="49">
        <v>129580</v>
      </c>
      <c r="N85" s="49">
        <v>129559</v>
      </c>
      <c r="O85" s="49">
        <v>129589</v>
      </c>
      <c r="P85" s="49">
        <v>130026</v>
      </c>
      <c r="Q85" s="49">
        <f>SUM(E85:P85)</f>
        <v>1555068</v>
      </c>
    </row>
    <row r="86" spans="2:17">
      <c r="B86" t="s">
        <v>60</v>
      </c>
      <c r="C86" s="51" t="s">
        <v>61</v>
      </c>
      <c r="D86" s="49">
        <v>11551</v>
      </c>
      <c r="E86" s="49">
        <v>11552</v>
      </c>
      <c r="F86" s="49">
        <v>11597</v>
      </c>
      <c r="G86" s="49">
        <v>11702</v>
      </c>
      <c r="H86" s="49">
        <v>11689</v>
      </c>
      <c r="I86" s="49">
        <v>11691</v>
      </c>
      <c r="J86" s="49">
        <v>11700</v>
      </c>
      <c r="K86" s="49">
        <v>11691</v>
      </c>
      <c r="L86" s="49">
        <v>11683</v>
      </c>
      <c r="M86" s="49">
        <v>11724</v>
      </c>
      <c r="N86" s="49">
        <v>11684</v>
      </c>
      <c r="O86" s="49">
        <v>11699</v>
      </c>
      <c r="P86" s="49">
        <v>11692</v>
      </c>
      <c r="Q86" s="49">
        <f>SUM(E86:P86)</f>
        <v>140104</v>
      </c>
    </row>
    <row r="87" spans="2:17">
      <c r="B87" t="s">
        <v>62</v>
      </c>
      <c r="C87" s="51" t="s">
        <v>63</v>
      </c>
      <c r="D87" s="49">
        <v>95</v>
      </c>
      <c r="E87" s="49">
        <v>93</v>
      </c>
      <c r="F87" s="49">
        <v>92</v>
      </c>
      <c r="G87" s="49">
        <v>93</v>
      </c>
      <c r="H87" s="49">
        <v>92</v>
      </c>
      <c r="I87" s="49">
        <v>90</v>
      </c>
      <c r="J87" s="49">
        <v>90</v>
      </c>
      <c r="K87" s="49">
        <v>87</v>
      </c>
      <c r="L87" s="49">
        <v>87</v>
      </c>
      <c r="M87" s="49">
        <v>86</v>
      </c>
      <c r="N87" s="49">
        <v>87</v>
      </c>
      <c r="O87" s="49">
        <v>87</v>
      </c>
      <c r="P87" s="49">
        <v>86</v>
      </c>
      <c r="Q87" s="49">
        <f>SUM(E87:P87)</f>
        <v>1070</v>
      </c>
    </row>
    <row r="88" spans="2:17">
      <c r="B88" t="s">
        <v>64</v>
      </c>
      <c r="C88" s="51" t="s">
        <v>65</v>
      </c>
      <c r="D88" s="49">
        <v>24</v>
      </c>
      <c r="E88" s="49">
        <v>23</v>
      </c>
      <c r="F88" s="49">
        <v>23</v>
      </c>
      <c r="G88" s="49">
        <v>23</v>
      </c>
      <c r="H88" s="49">
        <v>23</v>
      </c>
      <c r="I88" s="49">
        <v>23</v>
      </c>
      <c r="J88" s="49">
        <v>23</v>
      </c>
      <c r="K88" s="49">
        <v>23</v>
      </c>
      <c r="L88" s="49">
        <v>23</v>
      </c>
      <c r="M88" s="49">
        <v>23</v>
      </c>
      <c r="N88" s="49">
        <v>24</v>
      </c>
      <c r="O88" s="49">
        <v>24</v>
      </c>
      <c r="P88" s="49">
        <v>25</v>
      </c>
      <c r="Q88" s="49">
        <f>SUM(E88:P88)</f>
        <v>280</v>
      </c>
    </row>
    <row r="89" spans="2:17">
      <c r="B89" t="s">
        <v>52</v>
      </c>
      <c r="D89" s="19">
        <f t="shared" ref="D89:Q89" si="15">SUM(D85:D88)</f>
        <v>139568</v>
      </c>
      <c r="E89" s="19">
        <f>SUM(E85:E88)</f>
        <v>140039</v>
      </c>
      <c r="F89" s="19">
        <f>SUM(F85:F88)</f>
        <v>140930</v>
      </c>
      <c r="G89" s="19">
        <f>SUM(G85:G88)</f>
        <v>141242</v>
      </c>
      <c r="H89" s="19">
        <f>SUM(H85:H88)</f>
        <v>141580</v>
      </c>
      <c r="I89" s="19">
        <f t="shared" si="15"/>
        <v>141745</v>
      </c>
      <c r="J89" s="19">
        <f t="shared" si="15"/>
        <v>141763</v>
      </c>
      <c r="K89" s="19">
        <f t="shared" si="15"/>
        <v>141662</v>
      </c>
      <c r="L89" s="19">
        <f t="shared" si="15"/>
        <v>141566</v>
      </c>
      <c r="M89" s="19">
        <f t="shared" si="15"/>
        <v>141413</v>
      </c>
      <c r="N89" s="19">
        <f t="shared" si="15"/>
        <v>141354</v>
      </c>
      <c r="O89" s="19">
        <f t="shared" si="15"/>
        <v>141399</v>
      </c>
      <c r="P89" s="19">
        <f t="shared" si="15"/>
        <v>141829</v>
      </c>
      <c r="Q89" s="19">
        <f t="shared" si="15"/>
        <v>1696522</v>
      </c>
    </row>
  </sheetData>
  <mergeCells count="4">
    <mergeCell ref="A4:Q4"/>
    <mergeCell ref="A5:Q5"/>
    <mergeCell ref="A39:Q39"/>
    <mergeCell ref="A40:Q40"/>
  </mergeCells>
  <printOptions horizontalCentered="1" verticalCentered="1"/>
  <pageMargins left="0.25" right="0.25" top="0.25" bottom="0.25" header="0.5" footer="0.5"/>
  <pageSetup scale="65" orientation="landscape" r:id="rId1"/>
  <headerFooter alignWithMargins="0"/>
  <rowBreaks count="1" manualBreakCount="1">
    <brk id="3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3"/>
  </sheetPr>
  <dimension ref="A1:Q81"/>
  <sheetViews>
    <sheetView tabSelected="1" zoomScaleNormal="100" workbookViewId="0">
      <selection activeCell="K29" sqref="J29:K29"/>
    </sheetView>
  </sheetViews>
  <sheetFormatPr defaultRowHeight="12.75"/>
  <cols>
    <col min="1" max="1" width="17.7109375" style="1" customWidth="1"/>
    <col min="2" max="2" width="11.28515625" style="1" customWidth="1"/>
    <col min="3" max="3" width="11" style="1" customWidth="1"/>
    <col min="4" max="4" width="13.5703125" style="1" customWidth="1"/>
    <col min="5" max="5" width="12.7109375" style="1" customWidth="1"/>
    <col min="6" max="6" width="13" style="1" customWidth="1"/>
    <col min="7" max="9" width="13" style="1" bestFit="1" customWidth="1"/>
    <col min="10" max="10" width="13.85546875" style="1" bestFit="1" customWidth="1"/>
    <col min="11" max="11" width="13" style="1" bestFit="1" customWidth="1"/>
    <col min="12" max="12" width="12.85546875" style="1" bestFit="1" customWidth="1"/>
    <col min="13" max="13" width="13" style="1" customWidth="1"/>
    <col min="14" max="14" width="12.28515625" style="1" customWidth="1"/>
    <col min="15" max="15" width="12.5703125" style="1" customWidth="1"/>
    <col min="16" max="16" width="13.28515625" style="1" customWidth="1"/>
    <col min="17" max="17" width="14" style="1" bestFit="1" customWidth="1"/>
    <col min="18" max="18" width="10.28515625" style="1" bestFit="1" customWidth="1"/>
    <col min="19" max="16384" width="9.140625" style="1"/>
  </cols>
  <sheetData>
    <row r="1" spans="1:17">
      <c r="A1" s="96" t="s">
        <v>0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</row>
    <row r="2" spans="1:17">
      <c r="A2" s="96" t="s">
        <v>1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</row>
    <row r="3" spans="1:17">
      <c r="A3" s="96" t="s">
        <v>137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</row>
    <row r="4" spans="1:17">
      <c r="A4" s="96" t="s">
        <v>2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</row>
    <row r="5" spans="1:17">
      <c r="A5" s="96" t="s">
        <v>3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</row>
    <row r="6" spans="1:17">
      <c r="A6" s="96" t="s">
        <v>4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</row>
    <row r="7" spans="1:17">
      <c r="A7" s="2"/>
      <c r="J7" s="3"/>
    </row>
    <row r="8" spans="1:17">
      <c r="A8" s="2"/>
      <c r="J8" s="3"/>
    </row>
    <row r="9" spans="1:17">
      <c r="D9" s="4">
        <v>2010</v>
      </c>
      <c r="E9" s="4">
        <v>2010</v>
      </c>
      <c r="F9" s="4">
        <v>2010</v>
      </c>
      <c r="G9" s="4">
        <v>2010</v>
      </c>
      <c r="H9" s="4">
        <v>2010</v>
      </c>
      <c r="I9" s="4">
        <v>2010</v>
      </c>
      <c r="J9" s="5">
        <v>2011</v>
      </c>
      <c r="K9" s="5">
        <v>2011</v>
      </c>
      <c r="L9" s="5">
        <v>2011</v>
      </c>
      <c r="M9" s="5">
        <v>2011</v>
      </c>
      <c r="N9" s="5">
        <v>2011</v>
      </c>
      <c r="O9" s="5">
        <v>2011</v>
      </c>
      <c r="P9" s="2" t="s">
        <v>5</v>
      </c>
    </row>
    <row r="10" spans="1:17">
      <c r="D10" s="6" t="s">
        <v>6</v>
      </c>
      <c r="E10" s="6" t="s">
        <v>7</v>
      </c>
      <c r="F10" s="6" t="s">
        <v>8</v>
      </c>
      <c r="G10" s="6" t="s">
        <v>9</v>
      </c>
      <c r="H10" s="6" t="s">
        <v>10</v>
      </c>
      <c r="I10" s="6" t="s">
        <v>11</v>
      </c>
      <c r="J10" s="7" t="s">
        <v>12</v>
      </c>
      <c r="K10" s="6" t="s">
        <v>13</v>
      </c>
      <c r="L10" s="6" t="s">
        <v>14</v>
      </c>
      <c r="M10" s="6" t="s">
        <v>15</v>
      </c>
      <c r="N10" s="6" t="s">
        <v>16</v>
      </c>
      <c r="O10" s="6" t="s">
        <v>17</v>
      </c>
      <c r="P10" s="6" t="s">
        <v>18</v>
      </c>
    </row>
    <row r="11" spans="1:17">
      <c r="A11" s="2" t="s">
        <v>19</v>
      </c>
      <c r="B11" s="2"/>
      <c r="J11" s="3"/>
    </row>
    <row r="12" spans="1:17">
      <c r="A12" s="8" t="s">
        <v>20</v>
      </c>
      <c r="D12" s="9"/>
      <c r="E12" s="9"/>
      <c r="F12" s="9"/>
      <c r="G12" s="10"/>
      <c r="H12" s="10"/>
      <c r="I12" s="10"/>
      <c r="J12" s="11"/>
      <c r="K12" s="10"/>
      <c r="L12" s="10"/>
      <c r="M12" s="10"/>
      <c r="N12" s="10"/>
      <c r="O12" s="10"/>
    </row>
    <row r="13" spans="1:17">
      <c r="A13" s="1" t="s">
        <v>21</v>
      </c>
      <c r="D13" s="76">
        <v>3313811</v>
      </c>
      <c r="E13" s="12">
        <v>2388155</v>
      </c>
      <c r="F13" s="12">
        <v>2436473</v>
      </c>
      <c r="G13" s="12"/>
      <c r="H13" s="12"/>
      <c r="I13" s="12"/>
      <c r="J13" s="13"/>
      <c r="K13" s="12"/>
      <c r="L13" s="12"/>
      <c r="M13" s="12"/>
      <c r="N13" s="12"/>
      <c r="O13" s="12"/>
      <c r="P13" s="14">
        <f>SUM(D13:O13)</f>
        <v>8138439</v>
      </c>
      <c r="Q13" s="14"/>
    </row>
    <row r="14" spans="1:17">
      <c r="A14" s="15" t="s">
        <v>22</v>
      </c>
      <c r="D14" s="77">
        <v>-79496</v>
      </c>
      <c r="E14" s="13">
        <v>-50724</v>
      </c>
      <c r="F14" s="13">
        <v>-49513</v>
      </c>
      <c r="G14" s="13">
        <f t="shared" ref="G14:O14" si="0">-G36</f>
        <v>0</v>
      </c>
      <c r="H14" s="13">
        <f t="shared" si="0"/>
        <v>0</v>
      </c>
      <c r="I14" s="13">
        <f t="shared" si="0"/>
        <v>0</v>
      </c>
      <c r="J14" s="13">
        <f t="shared" si="0"/>
        <v>0</v>
      </c>
      <c r="K14" s="12">
        <f t="shared" si="0"/>
        <v>0</v>
      </c>
      <c r="L14" s="12">
        <f t="shared" si="0"/>
        <v>0</v>
      </c>
      <c r="M14" s="12">
        <f t="shared" si="0"/>
        <v>0</v>
      </c>
      <c r="N14" s="12">
        <f t="shared" si="0"/>
        <v>0</v>
      </c>
      <c r="O14" s="12">
        <f t="shared" si="0"/>
        <v>0</v>
      </c>
      <c r="P14" s="14">
        <f>SUM(D14:O14)</f>
        <v>-179733</v>
      </c>
      <c r="Q14" s="14"/>
    </row>
    <row r="15" spans="1:17">
      <c r="A15" s="15" t="s">
        <v>23</v>
      </c>
      <c r="D15" s="76">
        <v>9435</v>
      </c>
      <c r="E15" s="12">
        <v>15624</v>
      </c>
      <c r="F15" s="12">
        <v>20369</v>
      </c>
      <c r="G15" s="12"/>
      <c r="H15" s="12"/>
      <c r="I15" s="12"/>
      <c r="J15" s="13"/>
      <c r="K15" s="12"/>
      <c r="L15" s="12"/>
      <c r="M15" s="12"/>
      <c r="N15" s="12"/>
      <c r="O15" s="12"/>
      <c r="P15" s="14"/>
      <c r="Q15" s="14"/>
    </row>
    <row r="16" spans="1:17">
      <c r="A16" s="1" t="s">
        <v>24</v>
      </c>
      <c r="D16" s="9">
        <f>-M69</f>
        <v>-2290886</v>
      </c>
      <c r="E16" s="9">
        <f>-N69</f>
        <v>-1475600</v>
      </c>
      <c r="F16" s="9">
        <f>-O69</f>
        <v>-1470836</v>
      </c>
      <c r="G16" s="9">
        <f>-P69</f>
        <v>-2167427</v>
      </c>
      <c r="H16" s="11">
        <f t="shared" ref="H16:O16" si="1">-E69</f>
        <v>0</v>
      </c>
      <c r="I16" s="11">
        <f t="shared" si="1"/>
        <v>0</v>
      </c>
      <c r="J16" s="11">
        <f t="shared" si="1"/>
        <v>0</v>
      </c>
      <c r="K16" s="11">
        <f t="shared" si="1"/>
        <v>0</v>
      </c>
      <c r="L16" s="11">
        <f t="shared" si="1"/>
        <v>0</v>
      </c>
      <c r="M16" s="11">
        <f t="shared" si="1"/>
        <v>0</v>
      </c>
      <c r="N16" s="11">
        <f t="shared" si="1"/>
        <v>0</v>
      </c>
      <c r="O16" s="11">
        <f t="shared" si="1"/>
        <v>0</v>
      </c>
      <c r="P16" s="14">
        <f>SUM(D16:O16)</f>
        <v>-7404749</v>
      </c>
      <c r="Q16" s="14"/>
    </row>
    <row r="17" spans="1:17">
      <c r="A17" s="1" t="s">
        <v>25</v>
      </c>
      <c r="D17" s="9">
        <f>N69</f>
        <v>1475600</v>
      </c>
      <c r="E17" s="9">
        <f>O69</f>
        <v>1470836</v>
      </c>
      <c r="F17" s="9">
        <f>P69</f>
        <v>2167427</v>
      </c>
      <c r="G17" s="11">
        <f t="shared" ref="G17:O17" si="2">D69</f>
        <v>0</v>
      </c>
      <c r="H17" s="11">
        <f t="shared" si="2"/>
        <v>0</v>
      </c>
      <c r="I17" s="11">
        <f t="shared" si="2"/>
        <v>0</v>
      </c>
      <c r="J17" s="11">
        <f t="shared" si="2"/>
        <v>0</v>
      </c>
      <c r="K17" s="11">
        <f t="shared" si="2"/>
        <v>0</v>
      </c>
      <c r="L17" s="11">
        <f t="shared" si="2"/>
        <v>0</v>
      </c>
      <c r="M17" s="11">
        <f t="shared" si="2"/>
        <v>0</v>
      </c>
      <c r="N17" s="11">
        <f t="shared" si="2"/>
        <v>0</v>
      </c>
      <c r="O17" s="11">
        <f t="shared" si="2"/>
        <v>0</v>
      </c>
      <c r="P17" s="14">
        <f>SUM(D17:O17)</f>
        <v>5113863</v>
      </c>
      <c r="Q17" s="9"/>
    </row>
    <row r="18" spans="1:17">
      <c r="A18" s="1" t="s">
        <v>26</v>
      </c>
      <c r="D18" s="9">
        <f>M53</f>
        <v>0</v>
      </c>
      <c r="E18" s="9">
        <f>N53</f>
        <v>0</v>
      </c>
      <c r="F18" s="9">
        <f>O53</f>
        <v>0</v>
      </c>
      <c r="G18" s="9">
        <f>D53</f>
        <v>0</v>
      </c>
      <c r="H18" s="9">
        <f>E53</f>
        <v>0</v>
      </c>
      <c r="I18" s="9">
        <f>F53</f>
        <v>0</v>
      </c>
      <c r="J18" s="11">
        <f t="shared" ref="J18:O18" si="3">G43</f>
        <v>0</v>
      </c>
      <c r="K18" s="11">
        <f t="shared" si="3"/>
        <v>0</v>
      </c>
      <c r="L18" s="11">
        <f t="shared" si="3"/>
        <v>0</v>
      </c>
      <c r="M18" s="11">
        <f t="shared" si="3"/>
        <v>0</v>
      </c>
      <c r="N18" s="11">
        <f t="shared" si="3"/>
        <v>0</v>
      </c>
      <c r="O18" s="11">
        <f t="shared" si="3"/>
        <v>0</v>
      </c>
      <c r="P18" s="14">
        <f>SUM(D18:O18)</f>
        <v>0</v>
      </c>
      <c r="Q18" s="9"/>
    </row>
    <row r="19" spans="1:17">
      <c r="A19" s="1" t="s">
        <v>27</v>
      </c>
      <c r="D19" s="16">
        <f t="shared" ref="D19:P19" si="4">SUM(D13:D18)</f>
        <v>2428464</v>
      </c>
      <c r="E19" s="16">
        <f t="shared" si="4"/>
        <v>2348291</v>
      </c>
      <c r="F19" s="16">
        <f t="shared" si="4"/>
        <v>3103920</v>
      </c>
      <c r="G19" s="16">
        <f t="shared" si="4"/>
        <v>-2167427</v>
      </c>
      <c r="H19" s="16">
        <f t="shared" si="4"/>
        <v>0</v>
      </c>
      <c r="I19" s="16">
        <f t="shared" si="4"/>
        <v>0</v>
      </c>
      <c r="J19" s="16">
        <f t="shared" si="4"/>
        <v>0</v>
      </c>
      <c r="K19" s="16">
        <f t="shared" si="4"/>
        <v>0</v>
      </c>
      <c r="L19" s="16">
        <f t="shared" si="4"/>
        <v>0</v>
      </c>
      <c r="M19" s="16">
        <f t="shared" si="4"/>
        <v>0</v>
      </c>
      <c r="N19" s="16">
        <f t="shared" si="4"/>
        <v>0</v>
      </c>
      <c r="O19" s="16">
        <f t="shared" si="4"/>
        <v>0</v>
      </c>
      <c r="P19" s="16">
        <f t="shared" si="4"/>
        <v>5667820</v>
      </c>
      <c r="Q19" s="9"/>
    </row>
    <row r="20" spans="1:17"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9"/>
    </row>
    <row r="21" spans="1:17">
      <c r="A21" s="1" t="s">
        <v>28</v>
      </c>
      <c r="D21" s="17">
        <f t="shared" ref="D21:O21" si="5">D19</f>
        <v>2428464</v>
      </c>
      <c r="E21" s="17">
        <f t="shared" si="5"/>
        <v>2348291</v>
      </c>
      <c r="F21" s="17">
        <f t="shared" si="5"/>
        <v>3103920</v>
      </c>
      <c r="G21" s="17">
        <f t="shared" si="5"/>
        <v>-2167427</v>
      </c>
      <c r="H21" s="17">
        <f t="shared" si="5"/>
        <v>0</v>
      </c>
      <c r="I21" s="17">
        <f t="shared" si="5"/>
        <v>0</v>
      </c>
      <c r="J21" s="17">
        <f t="shared" si="5"/>
        <v>0</v>
      </c>
      <c r="K21" s="17">
        <f t="shared" si="5"/>
        <v>0</v>
      </c>
      <c r="L21" s="17">
        <f t="shared" si="5"/>
        <v>0</v>
      </c>
      <c r="M21" s="17">
        <f t="shared" si="5"/>
        <v>0</v>
      </c>
      <c r="N21" s="17">
        <f t="shared" si="5"/>
        <v>0</v>
      </c>
      <c r="O21" s="17">
        <f t="shared" si="5"/>
        <v>0</v>
      </c>
      <c r="P21" s="14">
        <f>SUM(D21:O21)</f>
        <v>5713248</v>
      </c>
      <c r="Q21" s="9"/>
    </row>
    <row r="22" spans="1:17">
      <c r="A22" t="s">
        <v>29</v>
      </c>
      <c r="B22"/>
      <c r="C22"/>
      <c r="D22" s="18">
        <v>2287103</v>
      </c>
      <c r="E22" s="18">
        <v>2287617</v>
      </c>
      <c r="F22" s="18">
        <v>3079646.51</v>
      </c>
      <c r="G22" s="18">
        <v>8101725.5099999998</v>
      </c>
      <c r="H22" s="18">
        <v>13914616</v>
      </c>
      <c r="I22" s="18">
        <v>20622099</v>
      </c>
      <c r="J22" s="18">
        <v>19880758</v>
      </c>
      <c r="K22" s="18">
        <v>18737627</v>
      </c>
      <c r="L22" s="18">
        <v>12345740</v>
      </c>
      <c r="M22" s="18">
        <v>9427301</v>
      </c>
      <c r="N22" s="18">
        <v>5554823</v>
      </c>
      <c r="O22" s="18">
        <v>2402374</v>
      </c>
      <c r="P22" s="14">
        <f>SUM(D22:O22)</f>
        <v>118641430.02</v>
      </c>
    </row>
    <row r="23" spans="1:17">
      <c r="A23" s="1" t="s">
        <v>30</v>
      </c>
      <c r="C23"/>
      <c r="D23" s="19">
        <f t="shared" ref="D23:F23" si="6">D21-D22</f>
        <v>141361</v>
      </c>
      <c r="E23" s="19">
        <f t="shared" si="6"/>
        <v>60674</v>
      </c>
      <c r="F23" s="19">
        <f t="shared" si="6"/>
        <v>24273.490000000224</v>
      </c>
      <c r="G23" s="19"/>
      <c r="H23" s="19"/>
      <c r="I23" s="19"/>
      <c r="J23" s="19"/>
      <c r="K23" s="19"/>
      <c r="L23" s="19"/>
      <c r="M23" s="19"/>
      <c r="N23" s="19"/>
      <c r="O23" s="19"/>
      <c r="P23" s="16">
        <f>SUM(D23:O23)</f>
        <v>226308.49000000022</v>
      </c>
    </row>
    <row r="24" spans="1:17">
      <c r="A24" s="1" t="s">
        <v>31</v>
      </c>
      <c r="C24"/>
      <c r="D24" s="20">
        <v>0.24215999999999999</v>
      </c>
      <c r="E24" s="20">
        <v>0.24215999999999999</v>
      </c>
      <c r="F24" s="20">
        <v>0.24215999999999999</v>
      </c>
      <c r="G24" s="20">
        <v>0.24215999999999999</v>
      </c>
      <c r="H24" s="20">
        <v>0.24215999999999999</v>
      </c>
      <c r="I24" s="20">
        <v>0.24215999999999999</v>
      </c>
      <c r="J24" s="20">
        <v>0.24215999999999999</v>
      </c>
      <c r="K24" s="20">
        <v>0.24215999999999999</v>
      </c>
      <c r="L24" s="20">
        <v>0.24215999999999999</v>
      </c>
      <c r="M24" s="20">
        <v>0.24215999999999999</v>
      </c>
      <c r="N24" s="20">
        <v>0.24215999999999999</v>
      </c>
      <c r="O24" s="20">
        <v>0.24215999999999999</v>
      </c>
      <c r="P24"/>
    </row>
    <row r="25" spans="1:17" s="2" customFormat="1">
      <c r="A25" s="2" t="s">
        <v>32</v>
      </c>
      <c r="D25" s="21">
        <f t="shared" ref="D25:O25" si="7">D23*D24</f>
        <v>34231.979759999995</v>
      </c>
      <c r="E25" s="21">
        <f t="shared" si="7"/>
        <v>14692.815839999999</v>
      </c>
      <c r="F25" s="22">
        <f t="shared" si="7"/>
        <v>5878.068338400054</v>
      </c>
      <c r="G25" s="21">
        <f t="shared" si="7"/>
        <v>0</v>
      </c>
      <c r="H25" s="21">
        <f t="shared" si="7"/>
        <v>0</v>
      </c>
      <c r="I25" s="21">
        <f t="shared" si="7"/>
        <v>0</v>
      </c>
      <c r="J25" s="23">
        <f t="shared" si="7"/>
        <v>0</v>
      </c>
      <c r="K25" s="21">
        <f t="shared" si="7"/>
        <v>0</v>
      </c>
      <c r="L25" s="21">
        <f t="shared" si="7"/>
        <v>0</v>
      </c>
      <c r="M25" s="22">
        <f t="shared" si="7"/>
        <v>0</v>
      </c>
      <c r="N25" s="21">
        <f t="shared" si="7"/>
        <v>0</v>
      </c>
      <c r="O25" s="22">
        <f t="shared" si="7"/>
        <v>0</v>
      </c>
      <c r="P25" s="21">
        <f>SUM(D25:O25)</f>
        <v>54802.863938400049</v>
      </c>
    </row>
    <row r="26" spans="1:17" s="2" customFormat="1">
      <c r="B26" s="24" t="s">
        <v>33</v>
      </c>
      <c r="C26" s="1"/>
      <c r="D26" s="25">
        <v>0.45</v>
      </c>
      <c r="E26" s="25">
        <v>0.45</v>
      </c>
      <c r="F26" s="25">
        <v>0.45</v>
      </c>
      <c r="G26" s="25">
        <v>0.45</v>
      </c>
      <c r="H26" s="25">
        <v>0.45</v>
      </c>
      <c r="I26" s="25">
        <v>0.45</v>
      </c>
      <c r="J26" s="25">
        <v>0.45</v>
      </c>
      <c r="K26" s="25">
        <v>0.45</v>
      </c>
      <c r="L26" s="25">
        <v>0.45</v>
      </c>
      <c r="M26" s="25">
        <v>0.45</v>
      </c>
      <c r="N26" s="25">
        <v>0.45</v>
      </c>
      <c r="O26" s="25">
        <v>0.45</v>
      </c>
      <c r="P26" s="21"/>
    </row>
    <row r="27" spans="1:17">
      <c r="A27" s="2" t="s">
        <v>34</v>
      </c>
      <c r="D27" s="23">
        <f t="shared" ref="D27:O27" si="8">ROUND(D25*D26,0)</f>
        <v>15404</v>
      </c>
      <c r="E27" s="23">
        <f t="shared" si="8"/>
        <v>6612</v>
      </c>
      <c r="F27" s="23">
        <f t="shared" si="8"/>
        <v>2645</v>
      </c>
      <c r="G27" s="23">
        <f t="shared" si="8"/>
        <v>0</v>
      </c>
      <c r="H27" s="23">
        <f t="shared" si="8"/>
        <v>0</v>
      </c>
      <c r="I27" s="23">
        <f t="shared" si="8"/>
        <v>0</v>
      </c>
      <c r="J27" s="23">
        <f t="shared" si="8"/>
        <v>0</v>
      </c>
      <c r="K27" s="23">
        <f t="shared" si="8"/>
        <v>0</v>
      </c>
      <c r="L27" s="23">
        <f t="shared" si="8"/>
        <v>0</v>
      </c>
      <c r="M27" s="23">
        <f t="shared" si="8"/>
        <v>0</v>
      </c>
      <c r="N27" s="23">
        <f t="shared" si="8"/>
        <v>0</v>
      </c>
      <c r="O27" s="23">
        <f t="shared" si="8"/>
        <v>0</v>
      </c>
      <c r="P27" s="23">
        <f>SUM(D27:O27)</f>
        <v>24661</v>
      </c>
    </row>
    <row r="28" spans="1:17">
      <c r="A28"/>
      <c r="B28" s="2" t="s">
        <v>35</v>
      </c>
      <c r="C28"/>
      <c r="D28"/>
      <c r="E28" s="9"/>
      <c r="F28" s="9"/>
      <c r="G28" s="9"/>
      <c r="H28" s="9"/>
      <c r="I28" s="9"/>
      <c r="J28" s="26"/>
      <c r="K28" s="9"/>
      <c r="L28" s="9"/>
      <c r="M28" s="9"/>
      <c r="N28" s="9"/>
      <c r="O28" s="9"/>
      <c r="P28" s="14"/>
    </row>
    <row r="29" spans="1:17">
      <c r="A29"/>
      <c r="B29" s="2"/>
      <c r="C29"/>
      <c r="D29"/>
      <c r="E29" s="9"/>
      <c r="F29" s="9"/>
      <c r="G29" s="9"/>
      <c r="H29" s="9"/>
      <c r="I29" s="9"/>
      <c r="J29" s="26"/>
      <c r="K29" s="9"/>
      <c r="L29" s="9"/>
      <c r="M29" s="9"/>
      <c r="N29" s="9"/>
      <c r="O29" s="9"/>
      <c r="P29" s="14"/>
    </row>
    <row r="30" spans="1:17">
      <c r="A30" s="2"/>
      <c r="B30" s="2"/>
      <c r="C30"/>
      <c r="D30" s="23"/>
      <c r="E30" s="9"/>
      <c r="F30" s="9"/>
      <c r="G30" s="9"/>
      <c r="H30" s="9"/>
      <c r="I30" s="9"/>
      <c r="J30" s="23"/>
      <c r="K30" s="9"/>
      <c r="L30" s="9"/>
      <c r="M30" s="9"/>
      <c r="N30" s="9"/>
      <c r="O30" s="9"/>
      <c r="P30" s="23"/>
    </row>
    <row r="31" spans="1:17">
      <c r="A31" s="2"/>
      <c r="B31" s="2"/>
      <c r="C31"/>
      <c r="E31" s="27"/>
      <c r="F31" s="9"/>
      <c r="G31" s="9"/>
      <c r="H31" s="9"/>
      <c r="I31" s="9"/>
      <c r="J31" s="28"/>
      <c r="K31" s="9"/>
      <c r="L31" s="9"/>
      <c r="M31" s="9"/>
      <c r="N31" s="9"/>
      <c r="O31" s="9"/>
      <c r="P31" s="14"/>
    </row>
    <row r="32" spans="1:17">
      <c r="A32" s="15" t="s">
        <v>102</v>
      </c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14"/>
    </row>
    <row r="33" spans="1:16" ht="27" customHeight="1">
      <c r="A33" s="95" t="s">
        <v>103</v>
      </c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</row>
    <row r="34" spans="1:16"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14"/>
    </row>
    <row r="35" spans="1:16" ht="13.15" customHeight="1">
      <c r="A35"/>
      <c r="B35"/>
      <c r="C35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/>
    </row>
    <row r="36" spans="1:16" ht="13.9" customHeight="1">
      <c r="A36" s="15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14"/>
    </row>
    <row r="37" spans="1:16">
      <c r="A37" s="31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</row>
    <row r="38" spans="1:16">
      <c r="A38" s="15" t="s">
        <v>36</v>
      </c>
      <c r="D38" s="14"/>
      <c r="E38" s="14"/>
      <c r="F38" s="14"/>
      <c r="G38" s="14"/>
      <c r="H38" s="14"/>
      <c r="I38" s="14"/>
      <c r="J38" s="14"/>
      <c r="K38" s="14"/>
      <c r="L38" s="14"/>
    </row>
    <row r="39" spans="1:16">
      <c r="A39" s="8" t="s">
        <v>37</v>
      </c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</row>
    <row r="40" spans="1:16">
      <c r="A40"/>
      <c r="B40"/>
      <c r="C40"/>
      <c r="D40" s="32">
        <v>40452</v>
      </c>
      <c r="E40" s="32">
        <v>40483</v>
      </c>
      <c r="F40" s="32">
        <v>40513</v>
      </c>
      <c r="G40" s="32">
        <v>40544</v>
      </c>
      <c r="H40" s="32">
        <v>40575</v>
      </c>
      <c r="I40" s="32">
        <v>40603</v>
      </c>
      <c r="J40" s="32">
        <v>40634</v>
      </c>
      <c r="K40" s="32">
        <v>40664</v>
      </c>
      <c r="L40" s="32">
        <v>40695</v>
      </c>
      <c r="M40" s="32">
        <v>40360</v>
      </c>
      <c r="N40" s="32">
        <v>40391</v>
      </c>
      <c r="O40" s="32">
        <v>40422</v>
      </c>
      <c r="P40" s="33" t="s">
        <v>18</v>
      </c>
    </row>
    <row r="41" spans="1:16">
      <c r="A41" s="34" t="s">
        <v>38</v>
      </c>
      <c r="B41"/>
      <c r="C41"/>
      <c r="D41">
        <v>541</v>
      </c>
      <c r="E41">
        <v>899</v>
      </c>
      <c r="F41">
        <v>1160</v>
      </c>
      <c r="G41">
        <v>1136</v>
      </c>
      <c r="H41">
        <v>914</v>
      </c>
      <c r="I41">
        <v>770</v>
      </c>
      <c r="J41">
        <v>542</v>
      </c>
      <c r="K41">
        <v>323</v>
      </c>
      <c r="L41">
        <v>144</v>
      </c>
      <c r="M41">
        <v>36</v>
      </c>
      <c r="N41">
        <v>35</v>
      </c>
      <c r="O41">
        <v>189</v>
      </c>
      <c r="P41" s="35">
        <f>SUM(D41:O41)</f>
        <v>6689</v>
      </c>
    </row>
    <row r="42" spans="1:16">
      <c r="A42" t="s">
        <v>39</v>
      </c>
      <c r="B42"/>
      <c r="C42"/>
      <c r="D42" s="36">
        <f t="shared" ref="D42:L42" si="9">D41</f>
        <v>541</v>
      </c>
      <c r="E42" s="36">
        <f t="shared" si="9"/>
        <v>899</v>
      </c>
      <c r="F42" s="36">
        <f t="shared" si="9"/>
        <v>1160</v>
      </c>
      <c r="G42" s="36">
        <f t="shared" si="9"/>
        <v>1136</v>
      </c>
      <c r="H42" s="36">
        <f t="shared" si="9"/>
        <v>914</v>
      </c>
      <c r="I42" s="36">
        <f t="shared" si="9"/>
        <v>770</v>
      </c>
      <c r="J42" s="36">
        <f t="shared" si="9"/>
        <v>542</v>
      </c>
      <c r="K42" s="36">
        <f t="shared" si="9"/>
        <v>323</v>
      </c>
      <c r="L42" s="36">
        <f t="shared" si="9"/>
        <v>144</v>
      </c>
      <c r="M42" s="75">
        <v>48</v>
      </c>
      <c r="N42" s="75">
        <v>47</v>
      </c>
      <c r="O42" s="75">
        <v>158</v>
      </c>
      <c r="P42" s="35">
        <f>SUM(D42:O42)</f>
        <v>6682</v>
      </c>
    </row>
    <row r="43" spans="1:16">
      <c r="A43" s="2" t="s">
        <v>40</v>
      </c>
      <c r="B43"/>
      <c r="C43"/>
      <c r="D43" s="37">
        <f t="shared" ref="D43:O43" si="10">D41-D42</f>
        <v>0</v>
      </c>
      <c r="E43" s="37">
        <f t="shared" si="10"/>
        <v>0</v>
      </c>
      <c r="F43" s="37">
        <f t="shared" si="10"/>
        <v>0</v>
      </c>
      <c r="G43" s="37">
        <f t="shared" si="10"/>
        <v>0</v>
      </c>
      <c r="H43" s="37">
        <f t="shared" si="10"/>
        <v>0</v>
      </c>
      <c r="I43" s="37">
        <f t="shared" si="10"/>
        <v>0</v>
      </c>
      <c r="J43" s="37">
        <f t="shared" si="10"/>
        <v>0</v>
      </c>
      <c r="K43" s="37">
        <f t="shared" si="10"/>
        <v>0</v>
      </c>
      <c r="L43" s="37">
        <f t="shared" si="10"/>
        <v>0</v>
      </c>
      <c r="M43" s="37">
        <f t="shared" si="10"/>
        <v>-12</v>
      </c>
      <c r="N43" s="37">
        <f t="shared" si="10"/>
        <v>-12</v>
      </c>
      <c r="O43" s="37">
        <f t="shared" si="10"/>
        <v>31</v>
      </c>
      <c r="P43" s="37">
        <f>SUM(G43:O43)</f>
        <v>7</v>
      </c>
    </row>
    <row r="44" spans="1:16">
      <c r="A44" s="2"/>
      <c r="B44" s="38"/>
      <c r="C44" s="39" t="s">
        <v>41</v>
      </c>
      <c r="D44"/>
      <c r="E44"/>
      <c r="F44"/>
      <c r="G44"/>
      <c r="H44"/>
      <c r="I44"/>
      <c r="J44"/>
      <c r="K44"/>
      <c r="L44"/>
      <c r="M44"/>
      <c r="N44"/>
      <c r="O44"/>
      <c r="P44"/>
    </row>
    <row r="45" spans="1:16">
      <c r="A45" t="s">
        <v>42</v>
      </c>
      <c r="B45"/>
      <c r="C45" s="33" t="s">
        <v>43</v>
      </c>
      <c r="D45" s="40">
        <v>8.77E-2</v>
      </c>
      <c r="E45" s="40">
        <v>8.77E-2</v>
      </c>
      <c r="F45" s="40">
        <v>0.1002</v>
      </c>
      <c r="G45" s="40">
        <v>0.1002</v>
      </c>
      <c r="H45" s="40">
        <v>0.1002</v>
      </c>
      <c r="I45" s="40">
        <v>0.1002</v>
      </c>
      <c r="J45" s="40">
        <v>8.77E-2</v>
      </c>
      <c r="K45" s="40">
        <v>8.77E-2</v>
      </c>
      <c r="L45" s="40">
        <v>8.77E-2</v>
      </c>
      <c r="M45" s="40">
        <v>0</v>
      </c>
      <c r="N45" s="40">
        <v>0</v>
      </c>
      <c r="O45" s="40">
        <v>0</v>
      </c>
      <c r="P45"/>
    </row>
    <row r="46" spans="1:16">
      <c r="A46" t="s">
        <v>44</v>
      </c>
      <c r="B46"/>
      <c r="C46" s="33" t="s">
        <v>43</v>
      </c>
      <c r="D46" s="40">
        <v>0.16700000000000001</v>
      </c>
      <c r="E46" s="40">
        <v>0.16700000000000001</v>
      </c>
      <c r="F46" s="40">
        <v>0.2467</v>
      </c>
      <c r="G46" s="40">
        <v>0.2467</v>
      </c>
      <c r="H46" s="40">
        <v>0.2467</v>
      </c>
      <c r="I46" s="40">
        <v>0.2467</v>
      </c>
      <c r="J46" s="40">
        <v>0.16700000000000001</v>
      </c>
      <c r="K46" s="40">
        <v>0.16700000000000001</v>
      </c>
      <c r="L46" s="40">
        <v>0.16700000000000001</v>
      </c>
      <c r="M46" s="40">
        <v>0</v>
      </c>
      <c r="N46" s="40">
        <v>0</v>
      </c>
      <c r="O46" s="40">
        <v>0</v>
      </c>
      <c r="P46"/>
    </row>
    <row r="47" spans="1:16">
      <c r="A47" t="s">
        <v>45</v>
      </c>
      <c r="B47"/>
      <c r="C47" s="33" t="s">
        <v>43</v>
      </c>
      <c r="D47" s="40">
        <v>0.29609999999999997</v>
      </c>
      <c r="E47" s="40">
        <v>0.29609999999999997</v>
      </c>
      <c r="F47" s="40">
        <v>0.42659999999999998</v>
      </c>
      <c r="G47" s="40">
        <v>0.42659999999999998</v>
      </c>
      <c r="H47" s="40">
        <v>0.42659999999999998</v>
      </c>
      <c r="I47" s="40">
        <v>0.42659999999999998</v>
      </c>
      <c r="J47" s="40">
        <v>0.29609999999999997</v>
      </c>
      <c r="K47" s="40">
        <v>0.29609999999999997</v>
      </c>
      <c r="L47" s="40">
        <v>0.29609999999999997</v>
      </c>
      <c r="M47" s="40">
        <v>0</v>
      </c>
      <c r="N47" s="40">
        <v>0</v>
      </c>
      <c r="O47" s="40">
        <v>0</v>
      </c>
      <c r="P47"/>
    </row>
    <row r="48" spans="1:16">
      <c r="A48"/>
      <c r="B48" s="41"/>
      <c r="C48"/>
      <c r="D48"/>
      <c r="E48"/>
      <c r="F48"/>
      <c r="G48"/>
      <c r="H48"/>
      <c r="I48"/>
      <c r="J48"/>
      <c r="K48"/>
      <c r="L48"/>
      <c r="M48"/>
      <c r="N48"/>
      <c r="O48"/>
      <c r="P48"/>
    </row>
    <row r="49" spans="1:17">
      <c r="A49" s="8" t="s">
        <v>46</v>
      </c>
      <c r="B49" s="41"/>
      <c r="C49" s="41"/>
      <c r="D49"/>
      <c r="E49"/>
      <c r="F49"/>
      <c r="G49"/>
      <c r="H49"/>
      <c r="I49"/>
      <c r="J49"/>
      <c r="K49"/>
      <c r="L49"/>
      <c r="M49"/>
      <c r="N49"/>
      <c r="O49"/>
      <c r="P49"/>
    </row>
    <row r="50" spans="1:17">
      <c r="A50" t="s">
        <v>42</v>
      </c>
      <c r="B50"/>
      <c r="C50"/>
      <c r="D50" s="35">
        <f t="shared" ref="D50:O52" si="11">ROUND(D$43*D45*D77,0)</f>
        <v>0</v>
      </c>
      <c r="E50" s="35">
        <f t="shared" si="11"/>
        <v>0</v>
      </c>
      <c r="F50" s="35">
        <f t="shared" si="11"/>
        <v>0</v>
      </c>
      <c r="G50" s="35">
        <f t="shared" si="11"/>
        <v>0</v>
      </c>
      <c r="H50" s="35">
        <f t="shared" si="11"/>
        <v>0</v>
      </c>
      <c r="I50" s="35">
        <f t="shared" si="11"/>
        <v>0</v>
      </c>
      <c r="J50" s="35">
        <f t="shared" si="11"/>
        <v>0</v>
      </c>
      <c r="K50" s="35">
        <f t="shared" si="11"/>
        <v>0</v>
      </c>
      <c r="L50" s="35">
        <f t="shared" si="11"/>
        <v>0</v>
      </c>
      <c r="M50" s="35">
        <f t="shared" si="11"/>
        <v>0</v>
      </c>
      <c r="N50" s="35">
        <f t="shared" si="11"/>
        <v>0</v>
      </c>
      <c r="O50" s="35">
        <f t="shared" si="11"/>
        <v>0</v>
      </c>
      <c r="P50" s="35">
        <f>SUM(D50:O50)</f>
        <v>0</v>
      </c>
    </row>
    <row r="51" spans="1:17">
      <c r="A51" t="s">
        <v>44</v>
      </c>
      <c r="B51"/>
      <c r="C51"/>
      <c r="D51" s="35">
        <f t="shared" si="11"/>
        <v>0</v>
      </c>
      <c r="E51" s="35">
        <f t="shared" si="11"/>
        <v>0</v>
      </c>
      <c r="F51" s="35">
        <f t="shared" si="11"/>
        <v>0</v>
      </c>
      <c r="G51" s="35">
        <f t="shared" si="11"/>
        <v>0</v>
      </c>
      <c r="H51" s="35">
        <f t="shared" si="11"/>
        <v>0</v>
      </c>
      <c r="I51" s="35">
        <f t="shared" si="11"/>
        <v>0</v>
      </c>
      <c r="J51" s="35">
        <f t="shared" si="11"/>
        <v>0</v>
      </c>
      <c r="K51" s="35">
        <f t="shared" si="11"/>
        <v>0</v>
      </c>
      <c r="L51" s="35">
        <f t="shared" si="11"/>
        <v>0</v>
      </c>
      <c r="M51" s="35">
        <f t="shared" si="11"/>
        <v>0</v>
      </c>
      <c r="N51" s="35">
        <f t="shared" si="11"/>
        <v>0</v>
      </c>
      <c r="O51" s="35">
        <f t="shared" si="11"/>
        <v>0</v>
      </c>
      <c r="P51" s="35">
        <f>SUM(D51:O51)</f>
        <v>0</v>
      </c>
    </row>
    <row r="52" spans="1:17">
      <c r="A52" t="s">
        <v>45</v>
      </c>
      <c r="B52"/>
      <c r="C52"/>
      <c r="D52" s="35">
        <f t="shared" si="11"/>
        <v>0</v>
      </c>
      <c r="E52" s="35">
        <f t="shared" si="11"/>
        <v>0</v>
      </c>
      <c r="F52" s="35">
        <f t="shared" si="11"/>
        <v>0</v>
      </c>
      <c r="G52" s="35">
        <f t="shared" si="11"/>
        <v>0</v>
      </c>
      <c r="H52" s="35">
        <f t="shared" si="11"/>
        <v>0</v>
      </c>
      <c r="I52" s="35">
        <f t="shared" si="11"/>
        <v>0</v>
      </c>
      <c r="J52" s="35">
        <f t="shared" si="11"/>
        <v>0</v>
      </c>
      <c r="K52" s="35">
        <f t="shared" si="11"/>
        <v>0</v>
      </c>
      <c r="L52" s="35">
        <f t="shared" si="11"/>
        <v>0</v>
      </c>
      <c r="M52" s="35">
        <f t="shared" si="11"/>
        <v>0</v>
      </c>
      <c r="N52" s="35">
        <f t="shared" si="11"/>
        <v>0</v>
      </c>
      <c r="O52" s="35">
        <f t="shared" si="11"/>
        <v>0</v>
      </c>
      <c r="P52" s="35">
        <f>SUM(D52:O52)</f>
        <v>0</v>
      </c>
    </row>
    <row r="53" spans="1:17">
      <c r="A53" t="s">
        <v>47</v>
      </c>
      <c r="B53"/>
      <c r="C53"/>
      <c r="D53" s="42">
        <f t="shared" ref="D53:P53" si="12">SUM(D50:D52)</f>
        <v>0</v>
      </c>
      <c r="E53" s="42">
        <f t="shared" si="12"/>
        <v>0</v>
      </c>
      <c r="F53" s="42">
        <f t="shared" si="12"/>
        <v>0</v>
      </c>
      <c r="G53" s="42">
        <f t="shared" si="12"/>
        <v>0</v>
      </c>
      <c r="H53" s="42">
        <f t="shared" si="12"/>
        <v>0</v>
      </c>
      <c r="I53" s="42">
        <f t="shared" si="12"/>
        <v>0</v>
      </c>
      <c r="J53" s="42">
        <f t="shared" si="12"/>
        <v>0</v>
      </c>
      <c r="K53" s="42">
        <f t="shared" si="12"/>
        <v>0</v>
      </c>
      <c r="L53" s="42">
        <f t="shared" si="12"/>
        <v>0</v>
      </c>
      <c r="M53" s="42">
        <f t="shared" si="12"/>
        <v>0</v>
      </c>
      <c r="N53" s="42">
        <f t="shared" si="12"/>
        <v>0</v>
      </c>
      <c r="O53" s="42">
        <f t="shared" si="12"/>
        <v>0</v>
      </c>
      <c r="P53" s="42">
        <f t="shared" si="12"/>
        <v>0</v>
      </c>
    </row>
    <row r="54" spans="1:17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</row>
    <row r="55" spans="1:17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</row>
    <row r="56" spans="1:17">
      <c r="A56" s="8" t="s">
        <v>48</v>
      </c>
      <c r="B56"/>
      <c r="C56"/>
      <c r="D56" s="43"/>
      <c r="E56"/>
      <c r="F56"/>
      <c r="G56"/>
      <c r="H56"/>
      <c r="I56"/>
      <c r="J56"/>
      <c r="K56"/>
      <c r="L56"/>
      <c r="M56"/>
      <c r="N56"/>
      <c r="O56"/>
      <c r="P56"/>
    </row>
    <row r="57" spans="1:17">
      <c r="A57" s="44"/>
      <c r="B57"/>
      <c r="C57"/>
      <c r="D57" s="45">
        <v>40452</v>
      </c>
      <c r="E57" s="45">
        <v>40483</v>
      </c>
      <c r="F57" s="45">
        <v>40513</v>
      </c>
      <c r="G57" s="45">
        <v>40544</v>
      </c>
      <c r="H57" s="45">
        <v>40575</v>
      </c>
      <c r="I57" s="45">
        <v>40603</v>
      </c>
      <c r="J57" s="45">
        <v>40634</v>
      </c>
      <c r="K57" s="45">
        <v>40664</v>
      </c>
      <c r="L57" s="45">
        <v>40695</v>
      </c>
      <c r="M57" s="45">
        <v>40330</v>
      </c>
      <c r="N57" s="45">
        <v>40360</v>
      </c>
      <c r="O57" s="45">
        <v>40391</v>
      </c>
      <c r="P57" s="45">
        <v>40422</v>
      </c>
    </row>
    <row r="58" spans="1:17">
      <c r="A58" t="s">
        <v>49</v>
      </c>
      <c r="B58"/>
      <c r="C58"/>
      <c r="D58" s="72">
        <v>0</v>
      </c>
      <c r="E58" s="72">
        <v>0</v>
      </c>
      <c r="F58" s="72">
        <v>0</v>
      </c>
      <c r="G58" s="72">
        <v>0</v>
      </c>
      <c r="H58" s="73">
        <v>0</v>
      </c>
      <c r="I58" s="72">
        <v>0</v>
      </c>
      <c r="J58" s="72">
        <v>0</v>
      </c>
      <c r="K58" s="72">
        <v>0</v>
      </c>
      <c r="L58" s="72">
        <v>0</v>
      </c>
      <c r="M58" s="70">
        <f>ROUND(106.6*1.0955,1)</f>
        <v>116.8</v>
      </c>
      <c r="N58" s="70">
        <f>ROUND(16.6*1.0848,1)</f>
        <v>18</v>
      </c>
      <c r="O58" s="70">
        <f>ROUND(46*1.0348,1)</f>
        <v>47.6</v>
      </c>
      <c r="P58" s="70">
        <f>ROUND(101.4*1.0545,1)</f>
        <v>106.9</v>
      </c>
      <c r="Q58" s="70"/>
    </row>
    <row r="59" spans="1:17">
      <c r="A59" t="s">
        <v>50</v>
      </c>
      <c r="B59"/>
      <c r="C59"/>
      <c r="D59" s="74">
        <v>0</v>
      </c>
      <c r="E59" s="74">
        <v>0</v>
      </c>
      <c r="F59" s="74">
        <v>0</v>
      </c>
      <c r="G59" s="74">
        <v>0</v>
      </c>
      <c r="H59" s="74">
        <v>0</v>
      </c>
      <c r="I59" s="74">
        <v>0</v>
      </c>
      <c r="J59" s="74">
        <v>0</v>
      </c>
      <c r="K59" s="74">
        <v>0</v>
      </c>
      <c r="L59" s="74">
        <v>0</v>
      </c>
      <c r="M59" s="71">
        <f>ROUND(66.19%*1.0955,4)</f>
        <v>0.72509999999999997</v>
      </c>
      <c r="N59" s="71">
        <f>ROUND(65.28%*1.0848,4)</f>
        <v>0.70820000000000005</v>
      </c>
      <c r="O59" s="71">
        <f>ROUND(68.2%*1.0348,4)</f>
        <v>0.70569999999999999</v>
      </c>
      <c r="P59" s="71">
        <f>ROUND(65.87%*1.0545,4)</f>
        <v>0.6946</v>
      </c>
      <c r="Q59" s="71"/>
    </row>
    <row r="60" spans="1:17">
      <c r="A60" s="2"/>
      <c r="B60" s="38" t="s">
        <v>51</v>
      </c>
      <c r="C60" s="39" t="s">
        <v>41</v>
      </c>
      <c r="D60" s="46"/>
      <c r="E60" s="46"/>
      <c r="F60" s="47"/>
      <c r="G60" s="46"/>
      <c r="H60" s="46"/>
      <c r="I60" s="46"/>
      <c r="J60" s="46"/>
      <c r="K60" s="46"/>
      <c r="L60" s="46"/>
      <c r="M60" s="46"/>
      <c r="N60" s="46"/>
      <c r="O60" s="46"/>
      <c r="P60" s="46"/>
    </row>
    <row r="61" spans="1:17">
      <c r="A61" t="s">
        <v>42</v>
      </c>
      <c r="B61" s="48">
        <v>15</v>
      </c>
      <c r="C61" s="33" t="s">
        <v>43</v>
      </c>
      <c r="D61" s="40">
        <f t="shared" ref="D61:L61" si="13">(D45+E45)/2</f>
        <v>8.77E-2</v>
      </c>
      <c r="E61" s="40">
        <f t="shared" si="13"/>
        <v>9.3950000000000006E-2</v>
      </c>
      <c r="F61" s="40">
        <f t="shared" si="13"/>
        <v>0.1002</v>
      </c>
      <c r="G61" s="40">
        <f t="shared" si="13"/>
        <v>0.1002</v>
      </c>
      <c r="H61" s="40">
        <f t="shared" si="13"/>
        <v>0.1002</v>
      </c>
      <c r="I61" s="40">
        <f t="shared" si="13"/>
        <v>9.3950000000000006E-2</v>
      </c>
      <c r="J61" s="40">
        <f t="shared" si="13"/>
        <v>8.77E-2</v>
      </c>
      <c r="K61" s="40">
        <f t="shared" si="13"/>
        <v>8.77E-2</v>
      </c>
      <c r="L61" s="40">
        <f t="shared" si="13"/>
        <v>4.385E-2</v>
      </c>
      <c r="M61" s="40">
        <f t="shared" ref="M61:O63" si="14">(L45+M45)/2</f>
        <v>4.385E-2</v>
      </c>
      <c r="N61" s="40">
        <f>(M45+N45)/2</f>
        <v>0</v>
      </c>
      <c r="O61" s="40">
        <f>(N45+O45)/2</f>
        <v>0</v>
      </c>
      <c r="P61" s="40">
        <f>(O45+D45)/2</f>
        <v>4.385E-2</v>
      </c>
    </row>
    <row r="62" spans="1:17">
      <c r="A62" t="s">
        <v>44</v>
      </c>
      <c r="B62" s="48">
        <v>12</v>
      </c>
      <c r="C62" s="33" t="s">
        <v>43</v>
      </c>
      <c r="D62" s="40">
        <f t="shared" ref="D62:L62" si="15">(D46+E46)/2</f>
        <v>0.16700000000000001</v>
      </c>
      <c r="E62" s="40">
        <f t="shared" si="15"/>
        <v>0.20685000000000001</v>
      </c>
      <c r="F62" s="40">
        <f t="shared" si="15"/>
        <v>0.2467</v>
      </c>
      <c r="G62" s="40">
        <f t="shared" si="15"/>
        <v>0.2467</v>
      </c>
      <c r="H62" s="40">
        <f t="shared" si="15"/>
        <v>0.2467</v>
      </c>
      <c r="I62" s="40">
        <f t="shared" si="15"/>
        <v>0.20685000000000001</v>
      </c>
      <c r="J62" s="40">
        <f t="shared" si="15"/>
        <v>0.16700000000000001</v>
      </c>
      <c r="K62" s="40">
        <f t="shared" si="15"/>
        <v>0.16700000000000001</v>
      </c>
      <c r="L62" s="40">
        <f t="shared" si="15"/>
        <v>8.3500000000000005E-2</v>
      </c>
      <c r="M62" s="40">
        <f t="shared" si="14"/>
        <v>8.3500000000000005E-2</v>
      </c>
      <c r="N62" s="40">
        <f t="shared" si="14"/>
        <v>0</v>
      </c>
      <c r="O62" s="40">
        <f t="shared" si="14"/>
        <v>0</v>
      </c>
      <c r="P62" s="40">
        <f>(O46+D46)/2</f>
        <v>8.3500000000000005E-2</v>
      </c>
    </row>
    <row r="63" spans="1:17">
      <c r="A63" t="s">
        <v>45</v>
      </c>
      <c r="B63" s="48">
        <v>0</v>
      </c>
      <c r="C63" s="33" t="s">
        <v>43</v>
      </c>
      <c r="D63" s="40">
        <f t="shared" ref="D63:L63" si="16">(D47+E47)/2</f>
        <v>0.29609999999999997</v>
      </c>
      <c r="E63" s="40">
        <f t="shared" si="16"/>
        <v>0.36134999999999995</v>
      </c>
      <c r="F63" s="40">
        <f t="shared" si="16"/>
        <v>0.42659999999999998</v>
      </c>
      <c r="G63" s="40">
        <f t="shared" si="16"/>
        <v>0.42659999999999998</v>
      </c>
      <c r="H63" s="40">
        <f t="shared" si="16"/>
        <v>0.42659999999999998</v>
      </c>
      <c r="I63" s="40">
        <f t="shared" si="16"/>
        <v>0.36134999999999995</v>
      </c>
      <c r="J63" s="40">
        <f t="shared" si="16"/>
        <v>0.29609999999999997</v>
      </c>
      <c r="K63" s="40">
        <f t="shared" si="16"/>
        <v>0.29609999999999997</v>
      </c>
      <c r="L63" s="40">
        <f t="shared" si="16"/>
        <v>0.14804999999999999</v>
      </c>
      <c r="M63" s="40">
        <f t="shared" si="14"/>
        <v>0.14804999999999999</v>
      </c>
      <c r="N63" s="40">
        <f t="shared" si="14"/>
        <v>0</v>
      </c>
      <c r="O63" s="40">
        <f t="shared" si="14"/>
        <v>0</v>
      </c>
      <c r="P63" s="40">
        <f>(O47+D47)/2</f>
        <v>0.14804999999999999</v>
      </c>
    </row>
    <row r="64" spans="1:17">
      <c r="A64"/>
      <c r="B64"/>
      <c r="C64" s="41"/>
      <c r="D64" s="46"/>
      <c r="E64" s="46"/>
      <c r="F64" s="47"/>
      <c r="G64" s="46"/>
      <c r="H64" s="46"/>
      <c r="I64" s="46"/>
      <c r="J64" s="46"/>
      <c r="K64" s="46"/>
      <c r="L64" s="46"/>
      <c r="M64" s="46"/>
      <c r="N64" s="46"/>
      <c r="O64" s="46"/>
      <c r="P64" s="46"/>
    </row>
    <row r="65" spans="1:16">
      <c r="A65" s="8" t="s">
        <v>46</v>
      </c>
      <c r="B65" s="38"/>
      <c r="C65" s="33"/>
      <c r="D65" s="46"/>
      <c r="E65" s="46"/>
      <c r="F65" s="47"/>
      <c r="G65" s="46"/>
      <c r="H65" s="46"/>
      <c r="I65" s="46"/>
      <c r="J65" s="46"/>
      <c r="K65" s="46"/>
      <c r="L65" s="46"/>
      <c r="M65" s="46"/>
      <c r="N65" s="46"/>
      <c r="O65" s="46"/>
      <c r="P65" s="46"/>
    </row>
    <row r="66" spans="1:16">
      <c r="A66" t="s">
        <v>42</v>
      </c>
      <c r="B66"/>
      <c r="C66"/>
      <c r="D66" s="35">
        <f t="shared" ref="D66:L66" si="17">ROUND((D$58*D61)*D77,0)+ROUND(($B61*D$59)*D77,0)</f>
        <v>0</v>
      </c>
      <c r="E66" s="35">
        <f t="shared" si="17"/>
        <v>0</v>
      </c>
      <c r="F66" s="35">
        <f t="shared" si="17"/>
        <v>0</v>
      </c>
      <c r="G66" s="35">
        <f t="shared" si="17"/>
        <v>0</v>
      </c>
      <c r="H66" s="35">
        <f t="shared" si="17"/>
        <v>0</v>
      </c>
      <c r="I66" s="35">
        <f t="shared" si="17"/>
        <v>0</v>
      </c>
      <c r="J66" s="35">
        <f t="shared" si="17"/>
        <v>0</v>
      </c>
      <c r="K66" s="35">
        <f t="shared" si="17"/>
        <v>0</v>
      </c>
      <c r="L66" s="35">
        <f t="shared" si="17"/>
        <v>0</v>
      </c>
      <c r="M66" s="35">
        <f t="shared" ref="M66:P68" si="18">ROUND((M$58*M61)*L77,0)+ROUND(($B61*M$59)*L77,0)</f>
        <v>2073044</v>
      </c>
      <c r="N66" s="35">
        <f t="shared" si="18"/>
        <v>1376305</v>
      </c>
      <c r="O66" s="35">
        <f>ROUND((O$58*O61)*N77,0)+ROUND(($B61*O$59)*N77,0)</f>
        <v>1371764</v>
      </c>
      <c r="P66" s="35">
        <f t="shared" si="18"/>
        <v>1964246</v>
      </c>
    </row>
    <row r="67" spans="1:16">
      <c r="A67" t="s">
        <v>44</v>
      </c>
      <c r="B67"/>
      <c r="C67"/>
      <c r="D67" s="35">
        <f t="shared" ref="D67:L67" si="19">ROUND((D$58*D62)*D78,0)+ROUND(($B62*D$59)*D78,0)</f>
        <v>0</v>
      </c>
      <c r="E67" s="35">
        <f t="shared" si="19"/>
        <v>0</v>
      </c>
      <c r="F67" s="35">
        <f t="shared" si="19"/>
        <v>0</v>
      </c>
      <c r="G67" s="35">
        <f t="shared" si="19"/>
        <v>0</v>
      </c>
      <c r="H67" s="35">
        <f t="shared" si="19"/>
        <v>0</v>
      </c>
      <c r="I67" s="35">
        <f t="shared" si="19"/>
        <v>0</v>
      </c>
      <c r="J67" s="35">
        <f t="shared" si="19"/>
        <v>0</v>
      </c>
      <c r="K67" s="35">
        <f t="shared" si="19"/>
        <v>0</v>
      </c>
      <c r="L67" s="35">
        <f t="shared" si="19"/>
        <v>0</v>
      </c>
      <c r="M67" s="35">
        <f t="shared" si="18"/>
        <v>216355</v>
      </c>
      <c r="N67" s="35">
        <f t="shared" si="18"/>
        <v>99295</v>
      </c>
      <c r="O67" s="35">
        <f t="shared" si="18"/>
        <v>99072</v>
      </c>
      <c r="P67" s="35">
        <f t="shared" si="18"/>
        <v>201820</v>
      </c>
    </row>
    <row r="68" spans="1:16">
      <c r="A68" t="s">
        <v>45</v>
      </c>
      <c r="B68"/>
      <c r="C68"/>
      <c r="D68" s="35">
        <f t="shared" ref="D68:L68" si="20">ROUND((D$58*D63)*D79,0)+ROUND(($B63*D$59)*D79,0)</f>
        <v>0</v>
      </c>
      <c r="E68" s="35">
        <f t="shared" si="20"/>
        <v>0</v>
      </c>
      <c r="F68" s="35">
        <f t="shared" si="20"/>
        <v>0</v>
      </c>
      <c r="G68" s="35">
        <f t="shared" si="20"/>
        <v>0</v>
      </c>
      <c r="H68" s="35">
        <f t="shared" si="20"/>
        <v>0</v>
      </c>
      <c r="I68" s="35">
        <f t="shared" si="20"/>
        <v>0</v>
      </c>
      <c r="J68" s="35">
        <f t="shared" si="20"/>
        <v>0</v>
      </c>
      <c r="K68" s="35">
        <f t="shared" si="20"/>
        <v>0</v>
      </c>
      <c r="L68" s="35">
        <f t="shared" si="20"/>
        <v>0</v>
      </c>
      <c r="M68" s="35">
        <f t="shared" si="18"/>
        <v>1487</v>
      </c>
      <c r="N68" s="35">
        <f t="shared" si="18"/>
        <v>0</v>
      </c>
      <c r="O68" s="35">
        <f t="shared" si="18"/>
        <v>0</v>
      </c>
      <c r="P68" s="35">
        <f t="shared" si="18"/>
        <v>1361</v>
      </c>
    </row>
    <row r="69" spans="1:16">
      <c r="A69" t="s">
        <v>52</v>
      </c>
      <c r="B69"/>
      <c r="C69"/>
      <c r="D69" s="42">
        <f t="shared" ref="D69:L69" si="21">SUM(D66:D68)</f>
        <v>0</v>
      </c>
      <c r="E69" s="42">
        <f t="shared" si="21"/>
        <v>0</v>
      </c>
      <c r="F69" s="42">
        <f t="shared" si="21"/>
        <v>0</v>
      </c>
      <c r="G69" s="42">
        <f t="shared" si="21"/>
        <v>0</v>
      </c>
      <c r="H69" s="42">
        <f t="shared" si="21"/>
        <v>0</v>
      </c>
      <c r="I69" s="42">
        <f t="shared" si="21"/>
        <v>0</v>
      </c>
      <c r="J69" s="42">
        <f t="shared" si="21"/>
        <v>0</v>
      </c>
      <c r="K69" s="42">
        <f t="shared" si="21"/>
        <v>0</v>
      </c>
      <c r="L69" s="42">
        <f t="shared" si="21"/>
        <v>0</v>
      </c>
      <c r="M69" s="42">
        <f t="shared" ref="M69:P69" si="22">SUM(M66:M68)</f>
        <v>2290886</v>
      </c>
      <c r="N69" s="42">
        <f t="shared" si="22"/>
        <v>1475600</v>
      </c>
      <c r="O69" s="42">
        <f t="shared" si="22"/>
        <v>1470836</v>
      </c>
      <c r="P69" s="42">
        <f t="shared" si="22"/>
        <v>2167427</v>
      </c>
    </row>
    <row r="70" spans="1:16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</row>
    <row r="71" spans="1:16" customFormat="1"/>
    <row r="72" spans="1:16" customFormat="1"/>
    <row r="73" spans="1:16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</row>
    <row r="74" spans="1:16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</row>
    <row r="75" spans="1:16">
      <c r="A75" s="2" t="s">
        <v>55</v>
      </c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</row>
    <row r="76" spans="1:16">
      <c r="A76" s="2"/>
      <c r="B76" t="s">
        <v>56</v>
      </c>
      <c r="C76" s="45">
        <v>39326</v>
      </c>
      <c r="D76" s="45">
        <v>39356</v>
      </c>
      <c r="E76" s="45">
        <v>39387</v>
      </c>
      <c r="F76" s="45">
        <v>39417</v>
      </c>
      <c r="G76" s="45">
        <v>39448</v>
      </c>
      <c r="H76" s="45">
        <v>39479</v>
      </c>
      <c r="I76" s="45">
        <v>39508</v>
      </c>
      <c r="J76" s="45">
        <v>39539</v>
      </c>
      <c r="K76" s="45">
        <v>39569</v>
      </c>
      <c r="L76" s="45">
        <v>39600</v>
      </c>
      <c r="M76" s="45">
        <v>39630</v>
      </c>
      <c r="N76" s="45">
        <v>39661</v>
      </c>
      <c r="O76" s="45">
        <v>39692</v>
      </c>
      <c r="P76" s="50" t="s">
        <v>57</v>
      </c>
    </row>
    <row r="77" spans="1:16">
      <c r="A77" t="s">
        <v>58</v>
      </c>
      <c r="B77" s="51" t="s">
        <v>59</v>
      </c>
      <c r="C77" s="35">
        <v>127898</v>
      </c>
      <c r="D77" s="35">
        <v>128371</v>
      </c>
      <c r="E77" s="35">
        <v>129218</v>
      </c>
      <c r="F77" s="35">
        <v>129424</v>
      </c>
      <c r="G77" s="35">
        <v>129776</v>
      </c>
      <c r="H77" s="35">
        <v>129941</v>
      </c>
      <c r="I77" s="35">
        <v>129950</v>
      </c>
      <c r="J77" s="35">
        <v>129861</v>
      </c>
      <c r="K77" s="35">
        <v>129773</v>
      </c>
      <c r="L77" s="35">
        <v>129580</v>
      </c>
      <c r="M77" s="35">
        <v>129559</v>
      </c>
      <c r="N77" s="35">
        <v>129589</v>
      </c>
      <c r="O77" s="35">
        <v>130026</v>
      </c>
      <c r="P77" s="35">
        <f>SUM(D77:O77)</f>
        <v>1555068</v>
      </c>
    </row>
    <row r="78" spans="1:16">
      <c r="A78" t="s">
        <v>60</v>
      </c>
      <c r="B78" s="51" t="s">
        <v>61</v>
      </c>
      <c r="C78" s="35">
        <v>11551</v>
      </c>
      <c r="D78" s="35">
        <v>11552</v>
      </c>
      <c r="E78" s="35">
        <v>11597</v>
      </c>
      <c r="F78" s="35">
        <v>11702</v>
      </c>
      <c r="G78" s="35">
        <v>11689</v>
      </c>
      <c r="H78" s="35">
        <v>11691</v>
      </c>
      <c r="I78" s="35">
        <v>11700</v>
      </c>
      <c r="J78" s="35">
        <v>11691</v>
      </c>
      <c r="K78" s="35">
        <v>11683</v>
      </c>
      <c r="L78" s="35">
        <v>11724</v>
      </c>
      <c r="M78" s="35">
        <v>11684</v>
      </c>
      <c r="N78" s="35">
        <v>11699</v>
      </c>
      <c r="O78" s="35">
        <v>11692</v>
      </c>
      <c r="P78" s="35">
        <f>SUM(D78:O78)</f>
        <v>140104</v>
      </c>
    </row>
    <row r="79" spans="1:16">
      <c r="A79" t="s">
        <v>62</v>
      </c>
      <c r="B79" s="51" t="s">
        <v>63</v>
      </c>
      <c r="C79" s="35">
        <v>95</v>
      </c>
      <c r="D79" s="35">
        <v>93</v>
      </c>
      <c r="E79" s="35">
        <v>92</v>
      </c>
      <c r="F79" s="35">
        <v>93</v>
      </c>
      <c r="G79" s="35">
        <v>92</v>
      </c>
      <c r="H79" s="35">
        <v>90</v>
      </c>
      <c r="I79" s="35">
        <v>90</v>
      </c>
      <c r="J79" s="35">
        <v>87</v>
      </c>
      <c r="K79" s="35">
        <v>87</v>
      </c>
      <c r="L79" s="35">
        <v>86</v>
      </c>
      <c r="M79" s="35">
        <v>87</v>
      </c>
      <c r="N79" s="35">
        <v>87</v>
      </c>
      <c r="O79" s="35">
        <v>86</v>
      </c>
      <c r="P79" s="35">
        <f>SUM(D79:O79)</f>
        <v>1070</v>
      </c>
    </row>
    <row r="80" spans="1:16">
      <c r="A80" t="s">
        <v>64</v>
      </c>
      <c r="B80" s="51" t="s">
        <v>65</v>
      </c>
      <c r="C80" s="35">
        <v>24</v>
      </c>
      <c r="D80" s="35">
        <v>23</v>
      </c>
      <c r="E80" s="35">
        <v>23</v>
      </c>
      <c r="F80" s="35">
        <v>23</v>
      </c>
      <c r="G80" s="35">
        <v>23</v>
      </c>
      <c r="H80" s="35">
        <v>23</v>
      </c>
      <c r="I80" s="35">
        <v>23</v>
      </c>
      <c r="J80" s="35">
        <v>23</v>
      </c>
      <c r="K80" s="35">
        <v>23</v>
      </c>
      <c r="L80" s="35">
        <v>23</v>
      </c>
      <c r="M80" s="35">
        <v>24</v>
      </c>
      <c r="N80" s="35">
        <v>24</v>
      </c>
      <c r="O80" s="35">
        <v>25</v>
      </c>
      <c r="P80" s="35">
        <f>SUM(D80:O80)</f>
        <v>280</v>
      </c>
    </row>
    <row r="81" spans="1:16">
      <c r="A81" t="s">
        <v>52</v>
      </c>
      <c r="B81"/>
      <c r="C81" s="19">
        <f t="shared" ref="C81:P81" si="23">SUM(C77:C80)</f>
        <v>139568</v>
      </c>
      <c r="D81" s="19">
        <f t="shared" si="23"/>
        <v>140039</v>
      </c>
      <c r="E81" s="19">
        <f t="shared" si="23"/>
        <v>140930</v>
      </c>
      <c r="F81" s="19">
        <f t="shared" si="23"/>
        <v>141242</v>
      </c>
      <c r="G81" s="19">
        <f t="shared" si="23"/>
        <v>141580</v>
      </c>
      <c r="H81" s="19">
        <f t="shared" si="23"/>
        <v>141745</v>
      </c>
      <c r="I81" s="19">
        <f t="shared" si="23"/>
        <v>141763</v>
      </c>
      <c r="J81" s="19">
        <f t="shared" si="23"/>
        <v>141662</v>
      </c>
      <c r="K81" s="19">
        <f t="shared" si="23"/>
        <v>141566</v>
      </c>
      <c r="L81" s="19">
        <f t="shared" si="23"/>
        <v>141413</v>
      </c>
      <c r="M81" s="19">
        <f t="shared" si="23"/>
        <v>141354</v>
      </c>
      <c r="N81" s="19">
        <f t="shared" si="23"/>
        <v>141399</v>
      </c>
      <c r="O81" s="19">
        <f t="shared" si="23"/>
        <v>141829</v>
      </c>
      <c r="P81" s="19">
        <f t="shared" si="23"/>
        <v>1696522</v>
      </c>
    </row>
  </sheetData>
  <mergeCells count="7">
    <mergeCell ref="A33:P33"/>
    <mergeCell ref="A1:P1"/>
    <mergeCell ref="A2:P2"/>
    <mergeCell ref="A3:P3"/>
    <mergeCell ref="A4:P4"/>
    <mergeCell ref="A5:P5"/>
    <mergeCell ref="A6:P6"/>
  </mergeCells>
  <printOptions horizontalCentered="1" verticalCentered="1"/>
  <pageMargins left="0.25" right="0.25" top="1" bottom="0.5" header="0.75" footer="0.5"/>
  <pageSetup scale="65" orientation="landscape" r:id="rId1"/>
  <headerFooter alignWithMargins="0">
    <oddHeader>&amp;C&amp;20Avista Corporation Natural Gas Decoupling Mechanism
Washington Jurisdiction
Quarterly Report for 3rd Quarter 2010</oddHeader>
    <oddFooter>&amp;C&amp;16file: &amp;F / &amp;A&amp;R&amp;16Page &amp;P of &amp;N</oddFooter>
  </headerFooter>
  <rowBreaks count="1" manualBreakCount="1">
    <brk id="36" max="16383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D78"/>
  <sheetViews>
    <sheetView tabSelected="1" topLeftCell="A8" zoomScaleNormal="100" workbookViewId="0">
      <selection activeCell="K29" sqref="J29:K29"/>
    </sheetView>
  </sheetViews>
  <sheetFormatPr defaultRowHeight="12.75"/>
  <cols>
    <col min="1" max="1" width="11.5703125" customWidth="1"/>
    <col min="2" max="2" width="49.28515625" customWidth="1"/>
    <col min="3" max="3" width="11.7109375" customWidth="1"/>
    <col min="4" max="4" width="13.42578125" customWidth="1"/>
  </cols>
  <sheetData>
    <row r="1" spans="1:4">
      <c r="A1" s="96" t="s">
        <v>104</v>
      </c>
      <c r="B1" s="96"/>
      <c r="C1" s="96"/>
      <c r="D1" s="96"/>
    </row>
    <row r="3" spans="1:4">
      <c r="A3" s="78" t="s">
        <v>127</v>
      </c>
      <c r="B3" s="78"/>
      <c r="C3" s="78"/>
      <c r="D3" s="78"/>
    </row>
    <row r="4" spans="1:4">
      <c r="A4" s="78"/>
      <c r="B4" s="78"/>
      <c r="C4" s="78"/>
      <c r="D4" s="78"/>
    </row>
    <row r="5" spans="1:4" ht="27" customHeight="1">
      <c r="A5" s="79" t="s">
        <v>105</v>
      </c>
      <c r="B5" s="80" t="s">
        <v>106</v>
      </c>
      <c r="C5" s="81" t="s">
        <v>107</v>
      </c>
      <c r="D5" s="81" t="s">
        <v>108</v>
      </c>
    </row>
    <row r="6" spans="1:4">
      <c r="A6" s="78"/>
      <c r="B6" s="78"/>
      <c r="C6" s="78"/>
      <c r="D6" s="78"/>
    </row>
    <row r="7" spans="1:4" ht="25.5">
      <c r="A7" s="92" t="s">
        <v>109</v>
      </c>
      <c r="B7" s="88" t="s">
        <v>110</v>
      </c>
      <c r="C7" s="92" t="s">
        <v>111</v>
      </c>
      <c r="D7" s="92" t="s">
        <v>112</v>
      </c>
    </row>
    <row r="8" spans="1:4">
      <c r="A8" s="82" t="s">
        <v>128</v>
      </c>
      <c r="B8" s="83">
        <v>577061</v>
      </c>
      <c r="C8" s="84">
        <v>-592465</v>
      </c>
      <c r="D8" s="83">
        <v>-15404</v>
      </c>
    </row>
    <row r="9" spans="1:4">
      <c r="A9" s="82" t="s">
        <v>129</v>
      </c>
      <c r="B9" s="83">
        <v>-15404</v>
      </c>
      <c r="C9" s="84">
        <v>-6612</v>
      </c>
      <c r="D9" s="83">
        <v>-22016</v>
      </c>
    </row>
    <row r="10" spans="1:4">
      <c r="A10" s="82" t="s">
        <v>130</v>
      </c>
      <c r="B10" s="83">
        <v>-22016</v>
      </c>
      <c r="C10" s="84">
        <v>-2645</v>
      </c>
      <c r="D10" s="83">
        <v>-24661</v>
      </c>
    </row>
    <row r="11" spans="1:4">
      <c r="A11" s="85"/>
      <c r="B11" s="86"/>
      <c r="C11" s="87" t="s">
        <v>131</v>
      </c>
      <c r="D11" s="86"/>
    </row>
    <row r="12" spans="1:4">
      <c r="A12" s="89"/>
      <c r="B12" s="90"/>
      <c r="C12" s="91"/>
      <c r="D12" s="90"/>
    </row>
    <row r="14" spans="1:4">
      <c r="A14" s="78" t="s">
        <v>127</v>
      </c>
      <c r="B14" s="78"/>
      <c r="C14" s="78"/>
      <c r="D14" s="78"/>
    </row>
    <row r="15" spans="1:4">
      <c r="A15" s="78"/>
      <c r="B15" s="78"/>
      <c r="C15" s="78"/>
      <c r="D15" s="78"/>
    </row>
    <row r="16" spans="1:4" ht="25.5">
      <c r="A16" s="79" t="s">
        <v>113</v>
      </c>
      <c r="B16" s="80" t="s">
        <v>114</v>
      </c>
      <c r="C16" s="81" t="s">
        <v>107</v>
      </c>
      <c r="D16" s="81" t="s">
        <v>108</v>
      </c>
    </row>
    <row r="17" spans="1:4">
      <c r="A17" s="78"/>
      <c r="B17" s="78"/>
      <c r="C17" s="78"/>
      <c r="D17" s="78"/>
    </row>
    <row r="18" spans="1:4" ht="25.5">
      <c r="A18" s="92" t="s">
        <v>109</v>
      </c>
      <c r="B18" s="88" t="s">
        <v>110</v>
      </c>
      <c r="C18" s="92" t="s">
        <v>111</v>
      </c>
      <c r="D18" s="92" t="s">
        <v>112</v>
      </c>
    </row>
    <row r="19" spans="1:4">
      <c r="A19" s="82" t="s">
        <v>128</v>
      </c>
      <c r="B19" s="83">
        <v>124120.29000000001</v>
      </c>
      <c r="C19" s="84">
        <v>-11535.76</v>
      </c>
      <c r="D19" s="83">
        <v>112584.53</v>
      </c>
    </row>
    <row r="20" spans="1:4">
      <c r="A20" s="82" t="s">
        <v>129</v>
      </c>
      <c r="B20" s="83">
        <v>112584.53</v>
      </c>
      <c r="C20" s="84">
        <v>-10644.24</v>
      </c>
      <c r="D20" s="83">
        <v>101940.29000000001</v>
      </c>
    </row>
    <row r="21" spans="1:4">
      <c r="A21" s="82" t="s">
        <v>130</v>
      </c>
      <c r="B21" s="83">
        <v>101940.29000000001</v>
      </c>
      <c r="C21" s="84">
        <v>-13101.95</v>
      </c>
      <c r="D21" s="83">
        <v>88838.34</v>
      </c>
    </row>
    <row r="22" spans="1:4">
      <c r="A22" s="85"/>
      <c r="B22" s="86"/>
      <c r="C22" s="87" t="s">
        <v>132</v>
      </c>
      <c r="D22" s="86"/>
    </row>
    <row r="23" spans="1:4">
      <c r="A23" s="89"/>
      <c r="B23" s="90"/>
      <c r="C23" s="91"/>
      <c r="D23" s="90"/>
    </row>
    <row r="25" spans="1:4">
      <c r="A25" s="78" t="s">
        <v>127</v>
      </c>
      <c r="B25" s="78"/>
      <c r="C25" s="78"/>
      <c r="D25" s="78"/>
    </row>
    <row r="26" spans="1:4">
      <c r="A26" s="78"/>
      <c r="B26" s="78"/>
      <c r="C26" s="78"/>
      <c r="D26" s="78"/>
    </row>
    <row r="27" spans="1:4" ht="25.5">
      <c r="A27" s="79" t="s">
        <v>115</v>
      </c>
      <c r="B27" s="80" t="s">
        <v>116</v>
      </c>
      <c r="C27" s="81" t="s">
        <v>107</v>
      </c>
      <c r="D27" s="81" t="s">
        <v>108</v>
      </c>
    </row>
    <row r="28" spans="1:4">
      <c r="A28" s="78"/>
      <c r="B28" s="78"/>
      <c r="C28" s="78"/>
      <c r="D28" s="78"/>
    </row>
    <row r="29" spans="1:4" ht="25.5">
      <c r="A29" s="92" t="s">
        <v>109</v>
      </c>
      <c r="B29" s="88" t="s">
        <v>110</v>
      </c>
      <c r="C29" s="92" t="s">
        <v>111</v>
      </c>
      <c r="D29" s="92" t="s">
        <v>112</v>
      </c>
    </row>
    <row r="30" spans="1:4">
      <c r="A30" s="82" t="s">
        <v>128</v>
      </c>
      <c r="B30" s="83">
        <v>0</v>
      </c>
      <c r="C30" s="84">
        <v>577061</v>
      </c>
      <c r="D30" s="83">
        <v>577061</v>
      </c>
    </row>
    <row r="31" spans="1:4">
      <c r="A31" s="82" t="s">
        <v>129</v>
      </c>
      <c r="B31" s="83">
        <v>577061</v>
      </c>
      <c r="C31" s="84">
        <v>0</v>
      </c>
      <c r="D31" s="83">
        <v>577061</v>
      </c>
    </row>
    <row r="32" spans="1:4">
      <c r="A32" s="82" t="s">
        <v>130</v>
      </c>
      <c r="B32" s="83">
        <v>577061</v>
      </c>
      <c r="C32" s="84">
        <v>0</v>
      </c>
      <c r="D32" s="83">
        <v>577061</v>
      </c>
    </row>
    <row r="33" spans="1:4">
      <c r="A33" s="85"/>
      <c r="B33" s="86"/>
      <c r="C33" s="87" t="s">
        <v>133</v>
      </c>
      <c r="D33" s="86"/>
    </row>
    <row r="34" spans="1:4">
      <c r="A34" s="89"/>
      <c r="B34" s="90"/>
      <c r="C34" s="91"/>
      <c r="D34" s="90"/>
    </row>
    <row r="36" spans="1:4">
      <c r="A36" s="78" t="s">
        <v>127</v>
      </c>
      <c r="B36" s="78"/>
      <c r="C36" s="78"/>
      <c r="D36" s="78"/>
    </row>
    <row r="37" spans="1:4">
      <c r="A37" s="78"/>
      <c r="B37" s="78"/>
      <c r="C37" s="78"/>
      <c r="D37" s="78"/>
    </row>
    <row r="38" spans="1:4" ht="25.5">
      <c r="A38" s="79" t="s">
        <v>118</v>
      </c>
      <c r="B38" s="80" t="s">
        <v>119</v>
      </c>
      <c r="C38" s="81" t="s">
        <v>107</v>
      </c>
      <c r="D38" s="81" t="s">
        <v>108</v>
      </c>
    </row>
    <row r="39" spans="1:4">
      <c r="A39" s="78"/>
      <c r="B39" s="78"/>
      <c r="C39" s="78"/>
      <c r="D39" s="78"/>
    </row>
    <row r="40" spans="1:4" ht="25.5">
      <c r="A40" s="92" t="s">
        <v>109</v>
      </c>
      <c r="B40" s="88" t="s">
        <v>110</v>
      </c>
      <c r="C40" s="92" t="s">
        <v>111</v>
      </c>
      <c r="D40" s="92" t="s">
        <v>112</v>
      </c>
    </row>
    <row r="41" spans="1:4">
      <c r="A41" s="82" t="s">
        <v>128</v>
      </c>
      <c r="B41" s="83">
        <v>-245413.51</v>
      </c>
      <c r="C41" s="84">
        <v>9428.92</v>
      </c>
      <c r="D41" s="83">
        <v>-235984.59</v>
      </c>
    </row>
    <row r="42" spans="1:4">
      <c r="A42" s="82" t="s">
        <v>129</v>
      </c>
      <c r="B42" s="83">
        <v>-235984.59</v>
      </c>
      <c r="C42" s="84">
        <v>6039.68</v>
      </c>
      <c r="D42" s="83">
        <v>-229944.91</v>
      </c>
    </row>
    <row r="43" spans="1:4">
      <c r="A43" s="82" t="s">
        <v>130</v>
      </c>
      <c r="B43" s="83">
        <v>-229944.91</v>
      </c>
      <c r="C43" s="84">
        <v>5511.43</v>
      </c>
      <c r="D43" s="83">
        <v>-224433.48</v>
      </c>
    </row>
    <row r="44" spans="1:4">
      <c r="A44" s="85"/>
      <c r="B44" s="86"/>
      <c r="C44" s="87" t="s">
        <v>134</v>
      </c>
      <c r="D44" s="86"/>
    </row>
    <row r="46" spans="1:4">
      <c r="A46" s="96" t="s">
        <v>120</v>
      </c>
      <c r="B46" s="96"/>
      <c r="C46" s="96"/>
      <c r="D46" s="96"/>
    </row>
    <row r="48" spans="1:4">
      <c r="A48" s="78" t="s">
        <v>127</v>
      </c>
      <c r="B48" s="78"/>
      <c r="C48" s="78"/>
      <c r="D48" s="78"/>
    </row>
    <row r="49" spans="1:4">
      <c r="A49" s="78"/>
      <c r="B49" s="78"/>
      <c r="C49" s="78"/>
      <c r="D49" s="78"/>
    </row>
    <row r="50" spans="1:4" ht="25.5">
      <c r="A50" s="79" t="s">
        <v>121</v>
      </c>
      <c r="B50" s="80" t="s">
        <v>122</v>
      </c>
      <c r="C50" s="81" t="s">
        <v>107</v>
      </c>
      <c r="D50" s="81" t="s">
        <v>108</v>
      </c>
    </row>
    <row r="51" spans="1:4">
      <c r="A51" s="78"/>
      <c r="B51" s="78"/>
      <c r="C51" s="78"/>
      <c r="D51" s="78"/>
    </row>
    <row r="52" spans="1:4" ht="25.5">
      <c r="A52" s="92" t="s">
        <v>109</v>
      </c>
      <c r="B52" s="88" t="s">
        <v>110</v>
      </c>
      <c r="C52" s="92" t="s">
        <v>111</v>
      </c>
      <c r="D52" s="92" t="s">
        <v>112</v>
      </c>
    </row>
    <row r="53" spans="1:4">
      <c r="A53" s="82" t="s">
        <v>128</v>
      </c>
      <c r="B53" s="83">
        <v>-388189</v>
      </c>
      <c r="C53" s="84">
        <v>0</v>
      </c>
      <c r="D53" s="83">
        <v>-388189</v>
      </c>
    </row>
    <row r="54" spans="1:4">
      <c r="A54" s="82" t="s">
        <v>129</v>
      </c>
      <c r="B54" s="83">
        <v>-388189</v>
      </c>
      <c r="C54" s="84">
        <v>0</v>
      </c>
      <c r="D54" s="83">
        <v>-388189</v>
      </c>
    </row>
    <row r="55" spans="1:4">
      <c r="A55" s="82" t="s">
        <v>130</v>
      </c>
      <c r="B55" s="83">
        <v>-388189</v>
      </c>
      <c r="C55" s="84">
        <v>0</v>
      </c>
      <c r="D55" s="83">
        <v>-388189</v>
      </c>
    </row>
    <row r="56" spans="1:4">
      <c r="A56" s="85"/>
      <c r="B56" s="86"/>
      <c r="C56" s="87" t="s">
        <v>117</v>
      </c>
      <c r="D56" s="86"/>
    </row>
    <row r="59" spans="1:4">
      <c r="A59" s="78" t="s">
        <v>127</v>
      </c>
      <c r="B59" s="78"/>
      <c r="C59" s="78"/>
      <c r="D59" s="78"/>
    </row>
    <row r="60" spans="1:4">
      <c r="A60" s="78"/>
      <c r="B60" s="78"/>
      <c r="C60" s="78"/>
      <c r="D60" s="78"/>
    </row>
    <row r="61" spans="1:4" ht="25.5">
      <c r="A61" s="79" t="s">
        <v>123</v>
      </c>
      <c r="B61" s="80" t="s">
        <v>124</v>
      </c>
      <c r="C61" s="81" t="s">
        <v>107</v>
      </c>
      <c r="D61" s="81" t="s">
        <v>108</v>
      </c>
    </row>
    <row r="62" spans="1:4">
      <c r="A62" s="78"/>
      <c r="B62" s="78"/>
      <c r="C62" s="78"/>
      <c r="D62" s="78"/>
    </row>
    <row r="63" spans="1:4" ht="25.5">
      <c r="A63" s="92" t="s">
        <v>109</v>
      </c>
      <c r="B63" s="88" t="s">
        <v>110</v>
      </c>
      <c r="C63" s="79" t="s">
        <v>111</v>
      </c>
      <c r="D63" s="79" t="s">
        <v>112</v>
      </c>
    </row>
    <row r="64" spans="1:4">
      <c r="A64" s="82" t="s">
        <v>128</v>
      </c>
      <c r="B64" s="83">
        <v>65742</v>
      </c>
      <c r="C64" s="84">
        <v>15404</v>
      </c>
      <c r="D64" s="83">
        <v>81146</v>
      </c>
    </row>
    <row r="65" spans="1:4">
      <c r="A65" s="82" t="s">
        <v>129</v>
      </c>
      <c r="B65" s="83">
        <v>81146</v>
      </c>
      <c r="C65" s="84">
        <v>6612</v>
      </c>
      <c r="D65" s="83">
        <v>87758</v>
      </c>
    </row>
    <row r="66" spans="1:4">
      <c r="A66" s="82" t="s">
        <v>130</v>
      </c>
      <c r="B66" s="83">
        <v>87758</v>
      </c>
      <c r="C66" s="84">
        <v>2645</v>
      </c>
      <c r="D66" s="83">
        <v>90403</v>
      </c>
    </row>
    <row r="67" spans="1:4">
      <c r="A67" s="85"/>
      <c r="B67" s="86"/>
      <c r="C67" s="87" t="s">
        <v>135</v>
      </c>
      <c r="D67" s="86"/>
    </row>
    <row r="70" spans="1:4">
      <c r="A70" s="78" t="s">
        <v>127</v>
      </c>
      <c r="B70" s="78"/>
      <c r="C70" s="78"/>
      <c r="D70" s="78"/>
    </row>
    <row r="71" spans="1:4">
      <c r="A71" s="78"/>
      <c r="B71" s="78"/>
      <c r="C71" s="78"/>
      <c r="D71" s="78"/>
    </row>
    <row r="72" spans="1:4" ht="25.5">
      <c r="A72" s="79" t="s">
        <v>125</v>
      </c>
      <c r="B72" s="80" t="s">
        <v>126</v>
      </c>
      <c r="C72" s="81" t="s">
        <v>107</v>
      </c>
      <c r="D72" s="81" t="s">
        <v>108</v>
      </c>
    </row>
    <row r="73" spans="1:4">
      <c r="A73" s="78"/>
      <c r="B73" s="78"/>
      <c r="C73" s="78"/>
      <c r="D73" s="78"/>
    </row>
    <row r="74" spans="1:4" ht="25.5">
      <c r="A74" s="92" t="s">
        <v>109</v>
      </c>
      <c r="B74" s="88" t="s">
        <v>110</v>
      </c>
      <c r="C74" s="79" t="s">
        <v>111</v>
      </c>
      <c r="D74" s="79" t="s">
        <v>112</v>
      </c>
    </row>
    <row r="75" spans="1:4">
      <c r="A75" s="82" t="s">
        <v>128</v>
      </c>
      <c r="B75" s="83">
        <v>260468.56</v>
      </c>
      <c r="C75" s="84">
        <v>11855.86</v>
      </c>
      <c r="D75" s="83">
        <v>272324.42</v>
      </c>
    </row>
    <row r="76" spans="1:4">
      <c r="A76" s="82" t="s">
        <v>129</v>
      </c>
      <c r="B76" s="83">
        <v>272324.42</v>
      </c>
      <c r="C76" s="84">
        <v>10934.35</v>
      </c>
      <c r="D76" s="83">
        <v>283258.77</v>
      </c>
    </row>
    <row r="77" spans="1:4">
      <c r="A77" s="82" t="s">
        <v>130</v>
      </c>
      <c r="B77" s="83">
        <v>283258.77</v>
      </c>
      <c r="C77" s="84">
        <v>13359.95</v>
      </c>
      <c r="D77" s="83">
        <v>296618.72000000003</v>
      </c>
    </row>
    <row r="78" spans="1:4">
      <c r="A78" s="85"/>
      <c r="B78" s="86"/>
      <c r="C78" s="87" t="s">
        <v>136</v>
      </c>
      <c r="D78" s="86"/>
    </row>
  </sheetData>
  <mergeCells count="2">
    <mergeCell ref="A1:D1"/>
    <mergeCell ref="A46:D46"/>
  </mergeCells>
  <printOptions horizontalCentered="1"/>
  <pageMargins left="0.7" right="0.7" top="1" bottom="0.5" header="0.5" footer="0.5"/>
  <pageSetup orientation="portrait" r:id="rId1"/>
  <headerFooter>
    <oddHeader>&amp;CAvista Corporation Natural Gas Decoupling Mechanism
Washington Jurisdiction
Quarterly Report for 3rd Quarter 2010</oddHeader>
    <oddFooter>&amp;Cfile: &amp;F / &amp;A&amp;RPage &amp;P of &amp;N</oddFooter>
  </headerFooter>
  <rowBreaks count="1" manualBreakCount="1">
    <brk id="45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Compliance</DocumentSetType>
    <IsConfidential xmlns="dc463f71-b30c-4ab2-9473-d307f9d35888">false</IsConfidential>
    <AgendaOrder xmlns="dc463f71-b30c-4ab2-9473-d307f9d35888">false</AgendaOrder>
    <CaseType xmlns="dc463f71-b30c-4ab2-9473-d307f9d35888">Petition</CaseType>
    <IndustryCode xmlns="dc463f71-b30c-4ab2-9473-d307f9d35888">150</IndustryCode>
    <CaseStatus xmlns="dc463f71-b30c-4ab2-9473-d307f9d35888">Closed</CaseStatus>
    <OpenedDate xmlns="dc463f71-b30c-4ab2-9473-d307f9d35888">2006-04-05T07:00:00+00:00</OpenedDate>
    <Date1 xmlns="dc463f71-b30c-4ab2-9473-d307f9d35888">2010-11-01T07:00:00+00:00</Date1>
    <IsDocumentOrder xmlns="dc463f71-b30c-4ab2-9473-d307f9d35888" xsi:nil="true"/>
    <IsHighlyConfidential xmlns="dc463f71-b30c-4ab2-9473-d307f9d35888">false</IsHighlyConfidential>
    <CaseCompanyNames xmlns="dc463f71-b30c-4ab2-9473-d307f9d35888">Avista Corporation</CaseCompanyNames>
    <DocketNumber xmlns="dc463f71-b30c-4ab2-9473-d307f9d35888">060518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38C9261AECE84F42AEE70ECFF659B923" ma:contentTypeVersion="128" ma:contentTypeDescription="" ma:contentTypeScope="" ma:versionID="5d5089f6ad4201174d2f9a547e8ea97b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c67bbc6b01ef53d9eb67ed595f238ae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B46981E-C7CB-447D-82DB-B2A48B2A34B5}"/>
</file>

<file path=customXml/itemProps2.xml><?xml version="1.0" encoding="utf-8"?>
<ds:datastoreItem xmlns:ds="http://schemas.openxmlformats.org/officeDocument/2006/customXml" ds:itemID="{6C3B0403-DBB0-4554-9CFE-41B9BDFFF032}"/>
</file>

<file path=customXml/itemProps3.xml><?xml version="1.0" encoding="utf-8"?>
<ds:datastoreItem xmlns:ds="http://schemas.openxmlformats.org/officeDocument/2006/customXml" ds:itemID="{0E675462-173F-4968-859B-B68FE2A5B163}"/>
</file>

<file path=customXml/itemProps4.xml><?xml version="1.0" encoding="utf-8"?>
<ds:datastoreItem xmlns:ds="http://schemas.openxmlformats.org/officeDocument/2006/customXml" ds:itemID="{0CB1BD1C-2FB4-4C21-91DD-FFC2CE6CB05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01.01.10 Base</vt:lpstr>
      <vt:lpstr>2011</vt:lpstr>
      <vt:lpstr>GL Accounts</vt:lpstr>
      <vt:lpstr>'01.01.10 Base'!Print_Titles</vt:lpstr>
    </vt:vector>
  </TitlesOfParts>
  <Company>Corp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gzhkw6</dc:creator>
  <cp:lastModifiedBy>gzhkw6</cp:lastModifiedBy>
  <cp:lastPrinted>2010-11-01T15:55:44Z</cp:lastPrinted>
  <dcterms:created xsi:type="dcterms:W3CDTF">2010-08-02T16:29:29Z</dcterms:created>
  <dcterms:modified xsi:type="dcterms:W3CDTF">2010-11-01T16:09:38Z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0x0101006E56B4D1795A2E4DB2F0B01679ED314A0038C9261AECE84F42AEE70ECFF659B923</vt:lpwstr>
  </property>
  <property fmtid="{D5CDD505-2E9C-101B-9397-08002B2CF9AE}" pid="3" name="_docset_NoMedatataSyncRequired">
    <vt:lpwstr>False</vt:lpwstr>
  </property>
</Properties>
</file>