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econ.sharepoint.com/Cases/19 CASES/1921 Puget Sound - RD/GAW Work/"/>
    </mc:Choice>
  </mc:AlternateContent>
  <xr:revisionPtr revIDLastSave="0" documentId="8_{A9F2DC1E-AE51-4B4F-ABD5-DC3A5482A87F}" xr6:coauthVersionLast="45" xr6:coauthVersionMax="45" xr10:uidLastSave="{00000000-0000-0000-0000-000000000000}"/>
  <bookViews>
    <workbookView xWindow="-120" yWindow="-120" windowWidth="20730" windowHeight="11160" activeTab="1" xr2:uid="{93E0D917-435E-4602-8F56-A4B3A8C8B715}"/>
  </bookViews>
  <sheets>
    <sheet name="Sheet1" sheetId="1" r:id="rId1"/>
    <sheet name="Sheet1 (2)" sheetId="2" r:id="rId2"/>
  </sheet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1" i="2" l="1"/>
  <c r="Q25" i="2" l="1"/>
  <c r="R25" i="2" s="1"/>
  <c r="N33" i="2"/>
  <c r="Q33" i="2" s="1"/>
  <c r="N27" i="2"/>
  <c r="Q27" i="2" s="1"/>
  <c r="R27" i="2" s="1"/>
  <c r="N25" i="2"/>
  <c r="N31" i="2" l="1"/>
  <c r="N35" i="2" s="1"/>
  <c r="K27" i="2"/>
  <c r="G27" i="2"/>
  <c r="J21" i="2" l="1"/>
  <c r="F21" i="2"/>
  <c r="E21" i="2"/>
  <c r="J15" i="2"/>
  <c r="F15" i="2"/>
  <c r="E15" i="2"/>
  <c r="K33" i="2"/>
  <c r="K29" i="2"/>
  <c r="K25" i="2"/>
  <c r="K23" i="2"/>
  <c r="K20" i="2"/>
  <c r="K19" i="2"/>
  <c r="K18" i="2"/>
  <c r="K14" i="2"/>
  <c r="K13" i="2"/>
  <c r="K12" i="2"/>
  <c r="K9" i="2"/>
  <c r="G33" i="2"/>
  <c r="G29" i="2"/>
  <c r="G25" i="2"/>
  <c r="G23" i="2"/>
  <c r="G20" i="2"/>
  <c r="G19" i="2"/>
  <c r="G18" i="2"/>
  <c r="G14" i="2"/>
  <c r="G13" i="2"/>
  <c r="G12" i="2"/>
  <c r="G9" i="2"/>
  <c r="D21" i="2"/>
  <c r="D15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M32" i="1"/>
  <c r="K32" i="1"/>
  <c r="J32" i="1"/>
  <c r="E32" i="1"/>
  <c r="D32" i="1"/>
  <c r="E28" i="1"/>
  <c r="D28" i="1"/>
  <c r="E20" i="1"/>
  <c r="D20" i="1"/>
  <c r="E14" i="1"/>
  <c r="D14" i="1"/>
  <c r="D31" i="2" l="1"/>
  <c r="A26" i="2"/>
  <c r="A27" i="2" s="1"/>
  <c r="A28" i="2" s="1"/>
  <c r="A29" i="2" s="1"/>
  <c r="A30" i="2" s="1"/>
  <c r="A31" i="2" s="1"/>
  <c r="A32" i="2" s="1"/>
  <c r="A33" i="2" s="1"/>
  <c r="A34" i="2" s="1"/>
  <c r="A35" i="2" s="1"/>
  <c r="E31" i="2"/>
  <c r="E35" i="2" s="1"/>
  <c r="N41" i="2" s="1"/>
  <c r="K21" i="2"/>
  <c r="F31" i="2"/>
  <c r="F35" i="2" s="1"/>
  <c r="N39" i="2" s="1"/>
  <c r="N42" i="2" s="1"/>
  <c r="K15" i="2"/>
  <c r="K31" i="2" s="1"/>
  <c r="K35" i="2" s="1"/>
  <c r="J31" i="2"/>
  <c r="J35" i="2" s="1"/>
  <c r="D35" i="2"/>
  <c r="I35" i="1"/>
  <c r="I32" i="1"/>
  <c r="M31" i="1"/>
  <c r="M29" i="1"/>
  <c r="M27" i="1"/>
  <c r="G26" i="1"/>
  <c r="M25" i="1"/>
  <c r="M23" i="1"/>
  <c r="G22" i="1"/>
  <c r="M21" i="1"/>
  <c r="G19" i="1"/>
  <c r="G18" i="1"/>
  <c r="G17" i="1"/>
  <c r="M16" i="1"/>
  <c r="M15" i="1"/>
  <c r="G13" i="1"/>
  <c r="O12" i="1"/>
  <c r="G12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G11" i="1"/>
  <c r="A11" i="1"/>
  <c r="M10" i="1"/>
  <c r="A10" i="1"/>
  <c r="M9" i="1"/>
  <c r="A9" i="1"/>
  <c r="G8" i="1"/>
  <c r="I37" i="1" s="1"/>
  <c r="G35" i="2" l="1"/>
  <c r="G31" i="2"/>
  <c r="G32" i="1"/>
  <c r="I24" i="1"/>
  <c r="K24" i="1"/>
  <c r="M24" i="1"/>
  <c r="I30" i="1"/>
  <c r="K30" i="1"/>
  <c r="M30" i="1"/>
  <c r="I36" i="1"/>
  <c r="I38" i="1" s="1"/>
  <c r="H31" i="2" l="1"/>
  <c r="S27" i="2"/>
  <c r="S25" i="2"/>
  <c r="H27" i="2"/>
  <c r="H9" i="2"/>
  <c r="H19" i="2"/>
  <c r="H18" i="2"/>
  <c r="H23" i="2"/>
  <c r="H20" i="2"/>
  <c r="H25" i="2"/>
  <c r="H14" i="2"/>
  <c r="H13" i="2"/>
  <c r="H29" i="2"/>
  <c r="H12" i="2"/>
  <c r="I8" i="1"/>
  <c r="J8" i="1" s="1"/>
  <c r="I11" i="1"/>
  <c r="J11" i="1" s="1"/>
  <c r="I12" i="1"/>
  <c r="J12" i="1" s="1"/>
  <c r="I13" i="1"/>
  <c r="J13" i="1" s="1"/>
  <c r="I17" i="1"/>
  <c r="J17" i="1" s="1"/>
  <c r="I18" i="1"/>
  <c r="J18" i="1" s="1"/>
  <c r="I19" i="1"/>
  <c r="J19" i="1" s="1"/>
  <c r="I22" i="1"/>
  <c r="J22" i="1" s="1"/>
  <c r="I26" i="1"/>
  <c r="J26" i="1" s="1"/>
  <c r="J14" i="1" l="1"/>
  <c r="J20" i="1"/>
  <c r="J28" i="1"/>
  <c r="I28" i="1" s="1"/>
  <c r="K22" i="1"/>
  <c r="M22" i="1"/>
  <c r="K13" i="1"/>
  <c r="M13" i="1"/>
  <c r="M19" i="1"/>
  <c r="K19" i="1"/>
  <c r="M12" i="1"/>
  <c r="K12" i="1"/>
  <c r="M18" i="1"/>
  <c r="K18" i="1"/>
  <c r="K11" i="1"/>
  <c r="M11" i="1"/>
  <c r="M14" i="1" s="1"/>
  <c r="K26" i="1"/>
  <c r="M26" i="1"/>
  <c r="M17" i="1"/>
  <c r="K17" i="1"/>
  <c r="K20" i="1" s="1"/>
  <c r="K8" i="1"/>
  <c r="M8" i="1"/>
  <c r="M20" i="1" l="1"/>
  <c r="K14" i="1"/>
  <c r="K28" i="1" s="1"/>
  <c r="M28" i="1"/>
  <c r="P9" i="2"/>
  <c r="Q9" i="2"/>
  <c r="R9" i="2"/>
  <c r="S9" i="2"/>
  <c r="P12" i="2"/>
  <c r="Q12" i="2"/>
  <c r="R12" i="2"/>
  <c r="S12" i="2"/>
  <c r="P13" i="2"/>
  <c r="Q13" i="2"/>
  <c r="R13" i="2"/>
  <c r="S13" i="2"/>
  <c r="P14" i="2"/>
  <c r="Q14" i="2"/>
  <c r="R14" i="2"/>
  <c r="S14" i="2"/>
  <c r="P15" i="2"/>
  <c r="Q15" i="2"/>
  <c r="P18" i="2"/>
  <c r="Q18" i="2"/>
  <c r="R18" i="2"/>
  <c r="S18" i="2"/>
  <c r="P19" i="2"/>
  <c r="Q19" i="2"/>
  <c r="R19" i="2"/>
  <c r="S19" i="2"/>
  <c r="P20" i="2"/>
  <c r="Q20" i="2"/>
  <c r="R20" i="2"/>
  <c r="S20" i="2"/>
  <c r="P21" i="2"/>
  <c r="Q21" i="2"/>
  <c r="P23" i="2"/>
  <c r="Q23" i="2"/>
  <c r="R23" i="2"/>
  <c r="S23" i="2"/>
  <c r="P29" i="2"/>
  <c r="Q29" i="2"/>
  <c r="R29" i="2"/>
  <c r="S29" i="2"/>
  <c r="P31" i="2"/>
  <c r="Q31" i="2"/>
  <c r="R31" i="2"/>
  <c r="P35" i="2"/>
  <c r="Q35" i="2"/>
  <c r="R35" i="2"/>
  <c r="P39" i="2"/>
  <c r="P42" i="2"/>
</calcChain>
</file>

<file path=xl/sharedStrings.xml><?xml version="1.0" encoding="utf-8"?>
<sst xmlns="http://schemas.openxmlformats.org/spreadsheetml/2006/main" count="108" uniqueCount="78">
  <si>
    <t>Puget Sound Energy</t>
  </si>
  <si>
    <t>Twelve Months ended December 2008</t>
  </si>
  <si>
    <t>Twelve Months ended December 2018</t>
  </si>
  <si>
    <t>Summary - Rate Spread</t>
  </si>
  <si>
    <t>Line No.</t>
  </si>
  <si>
    <t>Voltage Level</t>
  </si>
  <si>
    <t>Schedule</t>
  </si>
  <si>
    <t>MWh</t>
  </si>
  <si>
    <t>Proforma
Revenue
($000)</t>
  </si>
  <si>
    <t>Proposed
Increase
($)</t>
  </si>
  <si>
    <t>Percent of Total w/o Schedule 449, MSSC &amp; Firm Resale</t>
  </si>
  <si>
    <t>Percent of Uniform Increase</t>
  </si>
  <si>
    <t>Proposed Revenue Increase (%)</t>
  </si>
  <si>
    <t>Proposed
Revenue
Increase
($000)</t>
  </si>
  <si>
    <t>Proposed
Revenue
($000)</t>
  </si>
  <si>
    <t>Proposed
Revenue
Increase
($)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</si>
  <si>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</si>
  <si>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</si>
  <si>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</si>
  <si>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</si>
  <si>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</si>
  <si>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</si>
  <si>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</si>
  <si>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</si>
  <si>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</si>
  <si>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Secondary Voltage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</si>
  <si>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</si>
  <si>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</si>
  <si>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</si>
  <si>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</si>
  <si>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</si>
  <si>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</si>
  <si>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</si>
  <si>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Primary Voltage</t>
  </si>
  <si>
    <t>General Service</t>
  </si>
  <si>
    <t>10 / 31</t>
  </si>
  <si>
    <t>Irrigation</t>
  </si>
  <si>
    <t>Interruptible Total Electric Schools</t>
  </si>
  <si>
    <t>Total Primary Voltage</t>
  </si>
  <si>
    <t>Total High Voltage</t>
  </si>
  <si>
    <t>46 / 49</t>
  </si>
  <si>
    <t>Choice / Retail Wheeling / Special Contract</t>
  </si>
  <si>
    <t>449 / 459 / SC</t>
  </si>
  <si>
    <t>Lighting</t>
  </si>
  <si>
    <t>50-59</t>
  </si>
  <si>
    <t>Total Jurisdictional Retail Sales</t>
  </si>
  <si>
    <t>Firm Resale</t>
  </si>
  <si>
    <t>Total Sales</t>
  </si>
  <si>
    <t>Average Increase Before Transportation, Special Contract &amp; Firm Resale</t>
  </si>
  <si>
    <t>Average Increase After Transportation, Special Contract, Firm Resale</t>
  </si>
  <si>
    <t>Adjustment to Average Increase for Unequal Allocation of Increase</t>
  </si>
  <si>
    <t>Average Increase After Firm Resale adjusted for Unequal Allocation of Increase</t>
  </si>
  <si>
    <t>Current
Revenue
($000)</t>
  </si>
  <si>
    <t>Percent Increase</t>
  </si>
  <si>
    <t>Percent of System Average Increase</t>
  </si>
  <si>
    <t>Choice / Retail Wheeling</t>
  </si>
  <si>
    <t>Special Contract</t>
  </si>
  <si>
    <t>SC</t>
  </si>
  <si>
    <t>449 / 459</t>
  </si>
  <si>
    <t>Average Parity Ratio</t>
  </si>
  <si>
    <t>Accept PSE Increases</t>
  </si>
  <si>
    <t>$ Increase Remaining:</t>
  </si>
  <si>
    <t>Cur. Rev. of Remaining:</t>
  </si>
  <si>
    <t>% Inc. to Remaining:</t>
  </si>
  <si>
    <t>% of Remaining</t>
  </si>
  <si>
    <t>Remaining Increase</t>
  </si>
  <si>
    <t>All Class Increases</t>
  </si>
  <si>
    <t>% Increase (Decrease)</t>
  </si>
  <si>
    <t>Proposed
Increase
($000)</t>
  </si>
  <si>
    <t>PCORC (Rider 95) Reduction ($000)</t>
  </si>
  <si>
    <t xml:space="preserve">Net Change ($000) </t>
  </si>
  <si>
    <t>Demand &gt; 50 kW &lt;= 350 kW</t>
  </si>
  <si>
    <t>Interruptible Electric Schools</t>
  </si>
  <si>
    <t>Total Jurisdictional Sales</t>
  </si>
  <si>
    <t>25/29</t>
  </si>
  <si>
    <t>% of Juris. Average Increase</t>
  </si>
  <si>
    <t>TABLE 7</t>
  </si>
  <si>
    <t>PC Proposed Rate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</si>
</sst>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color rgb="FFFF0000"/>
      <name val="Times New Roman"/>
      <family val="1"/>
    </font>
    <font>
      <u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quotePrefix="1" applyFont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2" fillId="0" borderId="2" xfId="0" applyNumberFormat="1" applyFont="1" applyBorder="1"/>
    <xf numFmtId="10" fontId="2" fillId="0" borderId="0" xfId="0" applyNumberFormat="1" applyFont="1"/>
    <xf numFmtId="165" fontId="2" fillId="0" borderId="0" xfId="0" applyNumberFormat="1" applyFont="1"/>
    <xf numFmtId="164" fontId="2" fillId="0" borderId="0" xfId="1" applyNumberFormat="1" applyFont="1" applyFill="1"/>
    <xf numFmtId="164" fontId="2" fillId="0" borderId="0" xfId="0" applyNumberFormat="1" applyFont="1"/>
    <xf numFmtId="0" fontId="2" fillId="0" borderId="0" xfId="0" quotePrefix="1" applyFont="1" applyAlignment="1">
      <alignment horizontal="left" indent="1"/>
    </xf>
    <xf numFmtId="0" fontId="2" fillId="0" borderId="0" xfId="0" quotePrefix="1" applyFont="1" applyAlignment="1">
      <alignment horizontal="center"/>
    </xf>
    <xf numFmtId="3" fontId="2" fillId="0" borderId="0" xfId="0" applyNumberFormat="1" applyFont="1"/>
    <xf numFmtId="0" fontId="2" fillId="0" borderId="0" xfId="0" quotePrefix="1" applyFont="1" applyAlignment="1">
      <alignment horizontal="left"/>
    </xf>
    <xf numFmtId="3" fontId="2" fillId="0" borderId="2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0" fontId="2" fillId="0" borderId="3" xfId="0" applyNumberFormat="1" applyFont="1" applyBorder="1"/>
    <xf numFmtId="44" fontId="2" fillId="0" borderId="0" xfId="0" applyNumberFormat="1" applyFont="1"/>
    <xf numFmtId="9" fontId="3" fillId="0" borderId="5" xfId="0" applyNumberFormat="1" applyFont="1" applyBorder="1"/>
    <xf numFmtId="0" fontId="2" fillId="0" borderId="5" xfId="0" applyFont="1" applyBorder="1"/>
    <xf numFmtId="10" fontId="2" fillId="0" borderId="6" xfId="0" applyNumberFormat="1" applyFont="1" applyBorder="1"/>
    <xf numFmtId="10" fontId="2" fillId="0" borderId="8" xfId="0" applyNumberFormat="1" applyFont="1" applyBorder="1"/>
    <xf numFmtId="0" fontId="2" fillId="0" borderId="8" xfId="0" applyFont="1" applyBorder="1"/>
    <xf numFmtId="0" fontId="2" fillId="0" borderId="10" xfId="0" applyFont="1" applyBorder="1"/>
    <xf numFmtId="10" fontId="3" fillId="0" borderId="11" xfId="0" applyNumberFormat="1" applyFont="1" applyBorder="1"/>
    <xf numFmtId="0" fontId="3" fillId="0" borderId="0" xfId="0" quotePrefix="1" applyFont="1" applyAlignment="1">
      <alignment wrapText="1"/>
    </xf>
    <xf numFmtId="165" fontId="4" fillId="0" borderId="2" xfId="0" applyNumberFormat="1" applyFont="1" applyBorder="1"/>
    <xf numFmtId="164" fontId="2" fillId="0" borderId="12" xfId="0" applyNumberFormat="1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2" fillId="0" borderId="0" xfId="0" applyFont="1" applyBorder="1"/>
    <xf numFmtId="10" fontId="2" fillId="0" borderId="0" xfId="0" applyNumberFormat="1" applyFont="1" applyBorder="1"/>
    <xf numFmtId="9" fontId="2" fillId="0" borderId="0" xfId="0" applyNumberFormat="1" applyFont="1" applyBorder="1"/>
    <xf numFmtId="3" fontId="2" fillId="0" borderId="0" xfId="0" applyNumberFormat="1" applyFont="1" applyBorder="1"/>
    <xf numFmtId="165" fontId="4" fillId="0" borderId="0" xfId="0" applyNumberFormat="1" applyFont="1" applyBorder="1"/>
    <xf numFmtId="0" fontId="5" fillId="0" borderId="0" xfId="0" applyFont="1" applyAlignment="1">
      <alignment horizontal="center" wrapText="1"/>
    </xf>
    <xf numFmtId="0" fontId="5" fillId="0" borderId="0" xfId="0" quotePrefix="1" applyFont="1" applyAlignment="1">
      <alignment horizontal="left" indent="1"/>
    </xf>
    <xf numFmtId="0" fontId="5" fillId="0" borderId="0" xfId="0" quotePrefix="1" applyFont="1" applyAlignment="1">
      <alignment horizontal="center"/>
    </xf>
    <xf numFmtId="3" fontId="5" fillId="0" borderId="0" xfId="0" applyNumberFormat="1" applyFont="1" applyBorder="1"/>
    <xf numFmtId="165" fontId="5" fillId="0" borderId="0" xfId="0" applyNumberFormat="1" applyFont="1" applyBorder="1"/>
    <xf numFmtId="0" fontId="5" fillId="0" borderId="0" xfId="0" applyFont="1" applyBorder="1"/>
    <xf numFmtId="10" fontId="5" fillId="0" borderId="0" xfId="0" applyNumberFormat="1" applyFont="1" applyBorder="1"/>
    <xf numFmtId="9" fontId="5" fillId="0" borderId="0" xfId="0" applyNumberFormat="1" applyFont="1" applyBorder="1"/>
    <xf numFmtId="0" fontId="5" fillId="0" borderId="0" xfId="0" applyFont="1"/>
    <xf numFmtId="165" fontId="5" fillId="0" borderId="0" xfId="0" applyNumberFormat="1" applyFont="1"/>
    <xf numFmtId="164" fontId="5" fillId="0" borderId="0" xfId="1" applyNumberFormat="1" applyFont="1" applyFill="1"/>
    <xf numFmtId="164" fontId="5" fillId="0" borderId="0" xfId="0" applyNumberFormat="1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6" fontId="2" fillId="0" borderId="0" xfId="3" applyNumberFormat="1" applyFont="1"/>
    <xf numFmtId="9" fontId="2" fillId="0" borderId="0" xfId="3" applyFont="1" applyFill="1"/>
    <xf numFmtId="9" fontId="5" fillId="0" borderId="0" xfId="3" applyFont="1" applyFill="1"/>
    <xf numFmtId="0" fontId="2" fillId="0" borderId="9" xfId="0" quotePrefix="1" applyFont="1" applyBorder="1" applyAlignment="1">
      <alignment horizontal="left"/>
    </xf>
    <xf numFmtId="0" fontId="2" fillId="0" borderId="10" xfId="0" quotePrefix="1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quotePrefix="1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7" xfId="0" quotePrefix="1" applyFont="1" applyBorder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167" fontId="2" fillId="0" borderId="0" xfId="0" applyNumberFormat="1" applyFont="1"/>
    <xf numFmtId="0" fontId="2" fillId="0" borderId="0" xfId="0" quotePrefix="1" applyFont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quotePrefix="1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5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0" fontId="2" fillId="0" borderId="0" xfId="3" applyNumberFormat="1" applyFont="1" applyFill="1" applyBorder="1"/>
    <xf numFmtId="9" fontId="2" fillId="0" borderId="0" xfId="3" applyNumberFormat="1" applyFont="1" applyFill="1" applyBorder="1"/>
    <xf numFmtId="165" fontId="2" fillId="0" borderId="0" xfId="2" applyNumberFormat="1" applyFont="1" applyFill="1" applyBorder="1"/>
    <xf numFmtId="167" fontId="2" fillId="0" borderId="0" xfId="2" applyNumberFormat="1" applyFont="1" applyFill="1"/>
    <xf numFmtId="10" fontId="2" fillId="0" borderId="0" xfId="3" applyNumberFormat="1" applyFont="1" applyFill="1"/>
    <xf numFmtId="167" fontId="2" fillId="0" borderId="0" xfId="0" applyNumberFormat="1" applyFont="1" applyFill="1"/>
    <xf numFmtId="0" fontId="2" fillId="0" borderId="0" xfId="0" quotePrefix="1" applyFont="1" applyFill="1" applyAlignment="1">
      <alignment horizontal="left" indent="1"/>
    </xf>
    <xf numFmtId="0" fontId="2" fillId="0" borderId="0" xfId="0" quotePrefix="1" applyFont="1" applyFill="1" applyAlignment="1">
      <alignment horizontal="center"/>
    </xf>
    <xf numFmtId="3" fontId="2" fillId="0" borderId="0" xfId="0" applyNumberFormat="1" applyFont="1" applyFill="1" applyBorder="1"/>
    <xf numFmtId="0" fontId="5" fillId="0" borderId="0" xfId="0" quotePrefix="1" applyFont="1" applyFill="1" applyAlignment="1">
      <alignment horizontal="left" indent="1"/>
    </xf>
    <xf numFmtId="0" fontId="5" fillId="0" borderId="0" xfId="0" quotePrefix="1" applyFont="1" applyFill="1" applyAlignment="1">
      <alignment horizontal="center"/>
    </xf>
    <xf numFmtId="3" fontId="5" fillId="0" borderId="0" xfId="0" applyNumberFormat="1" applyFont="1" applyFill="1" applyBorder="1"/>
    <xf numFmtId="165" fontId="5" fillId="0" borderId="0" xfId="0" applyNumberFormat="1" applyFont="1" applyFill="1" applyBorder="1"/>
    <xf numFmtId="9" fontId="5" fillId="0" borderId="0" xfId="3" applyNumberFormat="1" applyFont="1" applyFill="1" applyBorder="1"/>
    <xf numFmtId="165" fontId="5" fillId="0" borderId="0" xfId="2" applyNumberFormat="1" applyFont="1" applyFill="1" applyBorder="1"/>
    <xf numFmtId="5" fontId="5" fillId="0" borderId="0" xfId="0" applyNumberFormat="1" applyFont="1" applyFill="1"/>
    <xf numFmtId="167" fontId="5" fillId="0" borderId="0" xfId="2" applyNumberFormat="1" applyFont="1" applyFill="1"/>
    <xf numFmtId="10" fontId="5" fillId="0" borderId="0" xfId="3" applyNumberFormat="1" applyFont="1" applyFill="1"/>
    <xf numFmtId="0" fontId="2" fillId="0" borderId="0" xfId="0" quotePrefix="1" applyFont="1" applyFill="1" applyAlignment="1">
      <alignment horizontal="left"/>
    </xf>
    <xf numFmtId="164" fontId="2" fillId="0" borderId="0" xfId="0" applyNumberFormat="1" applyFont="1" applyFill="1"/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/>
    <xf numFmtId="165" fontId="2" fillId="0" borderId="1" xfId="0" applyNumberFormat="1" applyFont="1" applyFill="1" applyBorder="1"/>
    <xf numFmtId="165" fontId="2" fillId="0" borderId="1" xfId="2" applyNumberFormat="1" applyFont="1" applyFill="1" applyBorder="1"/>
    <xf numFmtId="9" fontId="2" fillId="0" borderId="1" xfId="3" applyFont="1" applyFill="1" applyBorder="1"/>
    <xf numFmtId="5" fontId="2" fillId="0" borderId="1" xfId="0" applyNumberFormat="1" applyFont="1" applyFill="1" applyBorder="1"/>
    <xf numFmtId="167" fontId="2" fillId="0" borderId="1" xfId="0" applyNumberFormat="1" applyFont="1" applyFill="1" applyBorder="1"/>
    <xf numFmtId="0" fontId="2" fillId="0" borderId="3" xfId="0" quotePrefix="1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164" fontId="2" fillId="0" borderId="3" xfId="0" applyNumberFormat="1" applyFont="1" applyFill="1" applyBorder="1"/>
    <xf numFmtId="10" fontId="2" fillId="0" borderId="3" xfId="3" applyNumberFormat="1" applyFont="1" applyFill="1" applyBorder="1"/>
    <xf numFmtId="9" fontId="2" fillId="0" borderId="3" xfId="3" applyNumberFormat="1" applyFont="1" applyFill="1" applyBorder="1"/>
    <xf numFmtId="9" fontId="2" fillId="0" borderId="3" xfId="3" applyFont="1" applyFill="1" applyBorder="1"/>
    <xf numFmtId="5" fontId="2" fillId="0" borderId="3" xfId="0" applyNumberFormat="1" applyFont="1" applyFill="1" applyBorder="1"/>
    <xf numFmtId="0" fontId="2" fillId="0" borderId="3" xfId="0" applyFont="1" applyFill="1" applyBorder="1"/>
    <xf numFmtId="167" fontId="2" fillId="0" borderId="3" xfId="0" applyNumberFormat="1" applyFont="1" applyFill="1" applyBorder="1"/>
    <xf numFmtId="3" fontId="2" fillId="0" borderId="0" xfId="0" applyNumberFormat="1" applyFont="1" applyFill="1"/>
    <xf numFmtId="165" fontId="2" fillId="0" borderId="0" xfId="0" applyNumberFormat="1" applyFont="1" applyFill="1"/>
    <xf numFmtId="165" fontId="2" fillId="0" borderId="0" xfId="2" applyNumberFormat="1" applyFont="1" applyFill="1"/>
    <xf numFmtId="165" fontId="2" fillId="0" borderId="3" xfId="2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DC45E-AEA9-490E-A773-814E3B876C15}">
  <dimension ref="A1:S50"/>
  <sheetViews>
    <sheetView topLeftCell="A5" workbookViewId="0">
      <pane xSplit="3" ySplit="2" topLeftCell="D7" activePane="bottomRight" state="frozen"/>
      <selection activeCell="A5" sqref="A5"/>
      <selection pane="topRight" activeCell="D5" sqref="D5"/>
      <selection pane="bottomLeft" activeCell="A7" sqref="A7"/>
      <selection pane="bottomRight" activeCell="H20" sqref="H20"/>
    </sheetView>
  </sheetViews>
  <sheetFormatPr defaultColWidth="9.5703125" defaultRowHeight="12" x14ac:dyDescent="0.2"/>
  <cols>
    <col min="1" max="1" width="5" style="1" customWidth="1"/>
    <col min="2" max="2" width="31.42578125" style="1" bestFit="1" customWidth="1"/>
    <col min="3" max="3" width="12.85546875" style="1" bestFit="1" customWidth="1"/>
    <col min="4" max="5" width="11" style="1" bestFit="1" customWidth="1"/>
    <col min="6" max="6" width="12" style="1" bestFit="1" customWidth="1"/>
    <col min="7" max="7" width="10.140625" style="1" bestFit="1" customWidth="1"/>
    <col min="8" max="8" width="8.85546875" style="1" bestFit="1" customWidth="1"/>
    <col min="9" max="9" width="11.7109375" style="1" bestFit="1" customWidth="1"/>
    <col min="10" max="10" width="8.7109375" style="1" bestFit="1" customWidth="1"/>
    <col min="11" max="11" width="11" style="1" bestFit="1" customWidth="1"/>
    <col min="12" max="12" width="3.85546875" style="1" customWidth="1"/>
    <col min="13" max="13" width="11.42578125" style="1" bestFit="1" customWidth="1"/>
    <col min="14" max="14" width="10.85546875" style="1" bestFit="1" customWidth="1"/>
    <col min="15" max="15" width="11.28515625" style="1" bestFit="1" customWidth="1"/>
    <col min="16" max="16384" width="9.5703125" style="1"/>
  </cols>
  <sheetData>
    <row r="1" spans="1:19" x14ac:dyDescent="0.2">
      <c r="A1" s="63" t="s">
        <v>0</v>
      </c>
      <c r="B1" s="64" t="s">
        <v>1</v>
      </c>
      <c r="C1" s="64"/>
      <c r="D1" s="64"/>
      <c r="E1" s="64"/>
      <c r="F1" s="64"/>
      <c r="G1" s="64"/>
      <c r="H1" s="64"/>
      <c r="I1" s="64"/>
      <c r="J1" s="64"/>
      <c r="K1" s="64"/>
    </row>
    <row r="2" spans="1:19" x14ac:dyDescent="0.2">
      <c r="A2" s="63" t="s">
        <v>2</v>
      </c>
      <c r="B2" s="64" t="s">
        <v>1</v>
      </c>
      <c r="C2" s="64"/>
      <c r="D2" s="64"/>
      <c r="E2" s="64"/>
      <c r="F2" s="64"/>
      <c r="G2" s="64"/>
      <c r="H2" s="64"/>
      <c r="I2" s="64"/>
      <c r="J2" s="64"/>
      <c r="K2" s="64"/>
    </row>
    <row r="3" spans="1:19" x14ac:dyDescent="0.2">
      <c r="A3" s="64" t="s">
        <v>3</v>
      </c>
      <c r="B3" s="64" t="s">
        <v>3</v>
      </c>
      <c r="C3" s="64"/>
      <c r="D3" s="64"/>
      <c r="E3" s="64"/>
      <c r="F3" s="64"/>
      <c r="G3" s="64"/>
      <c r="H3" s="64"/>
      <c r="I3" s="64"/>
      <c r="J3" s="64"/>
      <c r="K3" s="64"/>
    </row>
    <row r="4" spans="1:19" x14ac:dyDescent="0.2">
      <c r="B4" s="2"/>
      <c r="C4" s="2"/>
      <c r="D4" s="2"/>
      <c r="E4" s="2"/>
      <c r="F4" s="2"/>
      <c r="G4" s="2"/>
      <c r="H4" s="2"/>
      <c r="I4" s="2"/>
      <c r="J4" s="2"/>
      <c r="K4" s="2"/>
    </row>
    <row r="5" spans="1:19" ht="72" x14ac:dyDescent="0.2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M5" s="4" t="s">
        <v>15</v>
      </c>
    </row>
    <row r="6" spans="1:19" x14ac:dyDescent="0.2">
      <c r="A6" s="5"/>
      <c r="B6" s="6"/>
      <c r="C6" s="5"/>
      <c r="D6" s="5" t="s">
        <v>16</v>
      </c>
      <c r="E6" s="5" t="s">
        <v>17</v>
      </c>
      <c r="F6" s="5" t="s">
        <v>18</v>
      </c>
      <c r="G6" s="5" t="s">
        <v>19</v>
      </c>
      <c r="H6" s="5" t="s">
        <v>20</v>
      </c>
      <c r="I6" s="5" t="s">
        <v>21</v>
      </c>
      <c r="J6" s="7" t="s">
        <v>22</v>
      </c>
      <c r="K6" s="7" t="s">
        <v>23</v>
      </c>
    </row>
    <row r="7" spans="1:19" x14ac:dyDescent="0.2">
      <c r="A7" s="5"/>
      <c r="B7" s="6"/>
      <c r="C7" s="5"/>
      <c r="D7" s="35"/>
      <c r="E7" s="35"/>
      <c r="F7" s="35"/>
      <c r="G7" s="35"/>
      <c r="H7" s="35"/>
      <c r="I7" s="35"/>
      <c r="J7" s="35"/>
      <c r="K7" s="35"/>
    </row>
    <row r="8" spans="1:19" x14ac:dyDescent="0.2">
      <c r="A8" s="8">
        <v>1</v>
      </c>
      <c r="B8" s="9" t="s">
        <v>24</v>
      </c>
      <c r="C8" s="10">
        <v>7</v>
      </c>
      <c r="D8" s="36">
        <v>10623030.235689331</v>
      </c>
      <c r="E8" s="37">
        <v>1105896.514</v>
      </c>
      <c r="F8" s="38"/>
      <c r="G8" s="39">
        <f>E8/(E$32-E$30-$E$24)</f>
        <v>0.55823273170692511</v>
      </c>
      <c r="H8" s="40">
        <v>1</v>
      </c>
      <c r="I8" s="39">
        <f>+$I$38*H8</f>
        <v>7.6805746094331134E-2</v>
      </c>
      <c r="J8" s="37">
        <f>E8*I8</f>
        <v>84939.206860889914</v>
      </c>
      <c r="K8" s="37">
        <f>+E8+J8</f>
        <v>1190835.7208608899</v>
      </c>
      <c r="M8" s="13">
        <f>+J8*1000</f>
        <v>84939206.860889912</v>
      </c>
      <c r="O8" s="14">
        <v>1580000</v>
      </c>
      <c r="P8" s="14"/>
      <c r="R8" s="15"/>
      <c r="S8" s="15"/>
    </row>
    <row r="9" spans="1:19" x14ac:dyDescent="0.2">
      <c r="A9" s="8">
        <f>+A8+1</f>
        <v>2</v>
      </c>
      <c r="C9" s="10"/>
      <c r="D9" s="36"/>
      <c r="E9" s="37"/>
      <c r="F9" s="38"/>
      <c r="G9" s="39"/>
      <c r="H9" s="38"/>
      <c r="I9" s="38"/>
      <c r="J9" s="37"/>
      <c r="K9" s="37"/>
      <c r="M9" s="13">
        <f t="shared" ref="M9:M31" si="0">+J9*1000</f>
        <v>0</v>
      </c>
      <c r="O9" s="14"/>
      <c r="P9" s="14"/>
    </row>
    <row r="10" spans="1:19" x14ac:dyDescent="0.2">
      <c r="A10" s="8">
        <f t="shared" ref="A10:A38" si="1">+A9+1</f>
        <v>3</v>
      </c>
      <c r="B10" s="1" t="s">
        <v>25</v>
      </c>
      <c r="C10" s="10"/>
      <c r="D10" s="36"/>
      <c r="E10" s="37"/>
      <c r="F10" s="38"/>
      <c r="G10" s="39"/>
      <c r="H10" s="38"/>
      <c r="I10" s="38"/>
      <c r="J10" s="37"/>
      <c r="K10" s="37"/>
      <c r="M10" s="13">
        <f t="shared" si="0"/>
        <v>0</v>
      </c>
      <c r="O10" s="14"/>
      <c r="P10" s="14"/>
    </row>
    <row r="11" spans="1:19" x14ac:dyDescent="0.2">
      <c r="A11" s="8">
        <f t="shared" si="1"/>
        <v>4</v>
      </c>
      <c r="B11" s="16" t="s">
        <v>26</v>
      </c>
      <c r="C11" s="17" t="s">
        <v>27</v>
      </c>
      <c r="D11" s="41">
        <v>2700129.1967702867</v>
      </c>
      <c r="E11" s="37">
        <v>263390.397</v>
      </c>
      <c r="F11" s="38"/>
      <c r="G11" s="39">
        <f>E11/(E$32-E$30-$E$24)</f>
        <v>0.13295379717842343</v>
      </c>
      <c r="H11" s="40">
        <v>1</v>
      </c>
      <c r="I11" s="39">
        <f t="shared" ref="I11:I13" si="2">+$I$38*H11</f>
        <v>7.6805746094331134E-2</v>
      </c>
      <c r="J11" s="37">
        <f>E11*I11</f>
        <v>20229.895955667078</v>
      </c>
      <c r="K11" s="37">
        <f>+E11+J11</f>
        <v>283620.29295566707</v>
      </c>
      <c r="M11" s="13">
        <f t="shared" si="0"/>
        <v>20229895.955667078</v>
      </c>
      <c r="O11" s="14">
        <v>342000</v>
      </c>
      <c r="P11" s="14"/>
      <c r="R11" s="15"/>
      <c r="S11" s="15"/>
    </row>
    <row r="12" spans="1:19" x14ac:dyDescent="0.2">
      <c r="A12" s="8">
        <f t="shared" si="1"/>
        <v>5</v>
      </c>
      <c r="B12" s="16" t="s">
        <v>28</v>
      </c>
      <c r="C12" s="17" t="s">
        <v>29</v>
      </c>
      <c r="D12" s="41">
        <v>3006173.6873569316</v>
      </c>
      <c r="E12" s="37">
        <v>270703.24200000003</v>
      </c>
      <c r="F12" s="38"/>
      <c r="G12" s="39">
        <f>E12/(E$32-E$30-$E$24)</f>
        <v>0.13664516376582128</v>
      </c>
      <c r="H12" s="40">
        <v>0.75</v>
      </c>
      <c r="I12" s="39">
        <f t="shared" si="2"/>
        <v>5.7604309570748351E-2</v>
      </c>
      <c r="J12" s="37">
        <f>E12*I12</f>
        <v>15593.673353973209</v>
      </c>
      <c r="K12" s="37">
        <f>+E12+J12</f>
        <v>286296.91535397322</v>
      </c>
      <c r="M12" s="13">
        <f t="shared" si="0"/>
        <v>15593673.353973208</v>
      </c>
      <c r="O12" s="14">
        <f>362000+2000</f>
        <v>364000</v>
      </c>
      <c r="P12" s="14"/>
      <c r="R12" s="15"/>
      <c r="S12" s="15"/>
    </row>
    <row r="13" spans="1:19" s="51" customFormat="1" x14ac:dyDescent="0.2">
      <c r="A13" s="43">
        <f t="shared" si="1"/>
        <v>6</v>
      </c>
      <c r="B13" s="44" t="s">
        <v>30</v>
      </c>
      <c r="C13" s="45" t="s">
        <v>31</v>
      </c>
      <c r="D13" s="46">
        <v>1941301.3639308119</v>
      </c>
      <c r="E13" s="47">
        <v>160280.84099999999</v>
      </c>
      <c r="F13" s="48"/>
      <c r="G13" s="49">
        <f>E13/(E$32-E$30-$E$24)</f>
        <v>8.0906314993333381E-2</v>
      </c>
      <c r="H13" s="50">
        <v>0.75</v>
      </c>
      <c r="I13" s="49">
        <f t="shared" si="2"/>
        <v>5.7604309570748351E-2</v>
      </c>
      <c r="J13" s="47">
        <f>E13*I13</f>
        <v>9232.8671832238942</v>
      </c>
      <c r="K13" s="47">
        <f>+E13+J13</f>
        <v>169513.70818322388</v>
      </c>
      <c r="M13" s="52">
        <f t="shared" si="0"/>
        <v>9232867.1832238939</v>
      </c>
      <c r="O13" s="53">
        <v>258000</v>
      </c>
      <c r="P13" s="53"/>
      <c r="R13" s="54"/>
      <c r="S13" s="54"/>
    </row>
    <row r="14" spans="1:19" x14ac:dyDescent="0.2">
      <c r="A14" s="8">
        <f t="shared" si="1"/>
        <v>7</v>
      </c>
      <c r="B14" s="19" t="s">
        <v>32</v>
      </c>
      <c r="C14" s="10"/>
      <c r="D14" s="41">
        <f>SUM(D11:D13)</f>
        <v>7647604.2480580304</v>
      </c>
      <c r="E14" s="41">
        <f>SUM(E11:E13)</f>
        <v>694374.48</v>
      </c>
      <c r="F14" s="38"/>
      <c r="G14" s="39"/>
      <c r="H14" s="38"/>
      <c r="I14" s="38"/>
      <c r="J14" s="41">
        <f>SUM(J11:J13)</f>
        <v>45056.436492864173</v>
      </c>
      <c r="K14" s="41">
        <f>SUM(K11:K13)</f>
        <v>739430.91649286414</v>
      </c>
      <c r="M14" s="20">
        <f>SUM(M11:M13)</f>
        <v>45056436.492864184</v>
      </c>
      <c r="O14" s="14"/>
      <c r="P14" s="14"/>
      <c r="R14" s="15"/>
      <c r="S14" s="15"/>
    </row>
    <row r="15" spans="1:19" x14ac:dyDescent="0.2">
      <c r="A15" s="8">
        <f t="shared" si="1"/>
        <v>8</v>
      </c>
      <c r="C15" s="10"/>
      <c r="D15" s="41"/>
      <c r="E15" s="37"/>
      <c r="F15" s="38"/>
      <c r="G15" s="39"/>
      <c r="H15" s="38"/>
      <c r="I15" s="38"/>
      <c r="J15" s="37"/>
      <c r="K15" s="37"/>
      <c r="M15" s="13">
        <f t="shared" si="0"/>
        <v>0</v>
      </c>
      <c r="O15" s="14"/>
      <c r="P15" s="14"/>
    </row>
    <row r="16" spans="1:19" x14ac:dyDescent="0.2">
      <c r="A16" s="8">
        <f t="shared" si="1"/>
        <v>9</v>
      </c>
      <c r="B16" s="1" t="s">
        <v>33</v>
      </c>
      <c r="C16" s="10"/>
      <c r="D16" s="41"/>
      <c r="E16" s="37"/>
      <c r="F16" s="38"/>
      <c r="G16" s="39"/>
      <c r="H16" s="38"/>
      <c r="I16" s="38"/>
      <c r="J16" s="37"/>
      <c r="K16" s="37"/>
      <c r="M16" s="13">
        <f t="shared" si="0"/>
        <v>0</v>
      </c>
      <c r="O16" s="14"/>
      <c r="P16" s="14"/>
    </row>
    <row r="17" spans="1:19" x14ac:dyDescent="0.2">
      <c r="A17" s="8">
        <f t="shared" si="1"/>
        <v>10</v>
      </c>
      <c r="B17" s="16" t="s">
        <v>34</v>
      </c>
      <c r="C17" s="17" t="s">
        <v>35</v>
      </c>
      <c r="D17" s="41">
        <v>1407978.352242965</v>
      </c>
      <c r="E17" s="37">
        <v>113255.217</v>
      </c>
      <c r="F17" s="38"/>
      <c r="G17" s="39">
        <f t="shared" ref="G17:G19" si="3">E17/(E$32-E$30-$E$24)</f>
        <v>5.7168793251093107E-2</v>
      </c>
      <c r="H17" s="40">
        <v>1</v>
      </c>
      <c r="I17" s="39">
        <f t="shared" ref="I17:I19" si="4">+$I$38*H17</f>
        <v>7.6805746094331134E-2</v>
      </c>
      <c r="J17" s="37">
        <f>E17*I17</f>
        <v>8698.6514407603754</v>
      </c>
      <c r="K17" s="37">
        <f>+E17+J17</f>
        <v>121953.86844076039</v>
      </c>
      <c r="M17" s="13">
        <f t="shared" si="0"/>
        <v>8698651.4407603759</v>
      </c>
      <c r="O17" s="14">
        <v>169000</v>
      </c>
      <c r="P17" s="14"/>
      <c r="R17" s="15"/>
      <c r="S17" s="15"/>
    </row>
    <row r="18" spans="1:19" x14ac:dyDescent="0.2">
      <c r="A18" s="8">
        <f t="shared" si="1"/>
        <v>11</v>
      </c>
      <c r="B18" s="16" t="s">
        <v>36</v>
      </c>
      <c r="C18" s="17">
        <v>35</v>
      </c>
      <c r="D18" s="41">
        <v>4443.66</v>
      </c>
      <c r="E18" s="37">
        <v>268.01499999999999</v>
      </c>
      <c r="F18" s="38"/>
      <c r="G18" s="39">
        <f t="shared" si="3"/>
        <v>1.3528819712730513E-4</v>
      </c>
      <c r="H18" s="40">
        <v>1.5</v>
      </c>
      <c r="I18" s="39">
        <f t="shared" si="4"/>
        <v>0.1152086191414967</v>
      </c>
      <c r="J18" s="37">
        <f>E18*I18</f>
        <v>30.877638059208238</v>
      </c>
      <c r="K18" s="37">
        <f>+E18+J18</f>
        <v>298.89263805920825</v>
      </c>
      <c r="M18" s="13">
        <f t="shared" si="0"/>
        <v>30877.638059208239</v>
      </c>
      <c r="O18" s="14">
        <v>0</v>
      </c>
      <c r="P18" s="14"/>
      <c r="R18" s="15"/>
      <c r="S18" s="15"/>
    </row>
    <row r="19" spans="1:19" s="51" customFormat="1" x14ac:dyDescent="0.2">
      <c r="A19" s="43">
        <f t="shared" si="1"/>
        <v>12</v>
      </c>
      <c r="B19" s="55" t="s">
        <v>37</v>
      </c>
      <c r="C19" s="56">
        <v>43</v>
      </c>
      <c r="D19" s="46">
        <v>122500.71332397975</v>
      </c>
      <c r="E19" s="47">
        <v>10687.148999999999</v>
      </c>
      <c r="F19" s="48"/>
      <c r="G19" s="49">
        <f t="shared" si="3"/>
        <v>5.3946425410550964E-3</v>
      </c>
      <c r="H19" s="50">
        <v>1.25</v>
      </c>
      <c r="I19" s="49">
        <f t="shared" si="4"/>
        <v>9.6007182617913911E-2</v>
      </c>
      <c r="J19" s="47">
        <f>E19*I19</f>
        <v>1026.0430657078559</v>
      </c>
      <c r="K19" s="47">
        <f>+E19+J19</f>
        <v>11713.192065707855</v>
      </c>
      <c r="M19" s="52">
        <f t="shared" si="0"/>
        <v>1026043.065707856</v>
      </c>
      <c r="O19" s="53">
        <v>12000</v>
      </c>
      <c r="P19" s="53"/>
      <c r="R19" s="54"/>
      <c r="S19" s="54"/>
    </row>
    <row r="20" spans="1:19" x14ac:dyDescent="0.2">
      <c r="A20" s="8">
        <f t="shared" si="1"/>
        <v>13</v>
      </c>
      <c r="B20" s="9" t="s">
        <v>38</v>
      </c>
      <c r="C20" s="10"/>
      <c r="D20" s="41">
        <f>SUM(D17:D19)</f>
        <v>1534922.7255669446</v>
      </c>
      <c r="E20" s="41">
        <f>SUM(E17:E19)</f>
        <v>124210.38100000001</v>
      </c>
      <c r="F20" s="38"/>
      <c r="G20" s="39"/>
      <c r="H20" s="38"/>
      <c r="I20" s="38"/>
      <c r="J20" s="41">
        <f>SUM(J17:J19)</f>
        <v>9755.5721445274394</v>
      </c>
      <c r="K20" s="41">
        <f>SUM(K17:K19)</f>
        <v>133965.95314452745</v>
      </c>
      <c r="M20" s="20">
        <f>SUM(M17:M19)</f>
        <v>9755572.1445274409</v>
      </c>
      <c r="O20" s="14"/>
      <c r="P20" s="14"/>
    </row>
    <row r="21" spans="1:19" x14ac:dyDescent="0.2">
      <c r="A21" s="8">
        <f t="shared" si="1"/>
        <v>14</v>
      </c>
      <c r="C21" s="10"/>
      <c r="D21" s="41"/>
      <c r="E21" s="37"/>
      <c r="F21" s="38"/>
      <c r="G21" s="39"/>
      <c r="H21" s="38"/>
      <c r="I21" s="38"/>
      <c r="J21" s="38"/>
      <c r="K21" s="38"/>
      <c r="M21" s="13">
        <f t="shared" si="0"/>
        <v>0</v>
      </c>
    </row>
    <row r="22" spans="1:19" x14ac:dyDescent="0.2">
      <c r="A22" s="8">
        <f t="shared" si="1"/>
        <v>15</v>
      </c>
      <c r="B22" s="19" t="s">
        <v>39</v>
      </c>
      <c r="C22" s="10" t="s">
        <v>40</v>
      </c>
      <c r="D22" s="41">
        <v>620610.81340199988</v>
      </c>
      <c r="E22" s="37">
        <v>40128.248</v>
      </c>
      <c r="F22" s="38"/>
      <c r="G22" s="39">
        <f t="shared" ref="G22" si="5">E22/(E$32-E$30-$E$24)</f>
        <v>2.0255874954004022E-2</v>
      </c>
      <c r="H22" s="40">
        <v>0.75</v>
      </c>
      <c r="I22" s="39">
        <f>+$I$38*H22</f>
        <v>5.7604309570748351E-2</v>
      </c>
      <c r="J22" s="37">
        <f>E22*I22</f>
        <v>2311.5600203237632</v>
      </c>
      <c r="K22" s="37">
        <f>+E22+J22</f>
        <v>42439.808020323762</v>
      </c>
      <c r="M22" s="13">
        <f t="shared" si="0"/>
        <v>2311560.0203237631</v>
      </c>
      <c r="O22" s="1">
        <v>343000</v>
      </c>
    </row>
    <row r="23" spans="1:19" x14ac:dyDescent="0.2">
      <c r="A23" s="8">
        <f t="shared" si="1"/>
        <v>16</v>
      </c>
      <c r="C23" s="10"/>
      <c r="D23" s="41"/>
      <c r="E23" s="37"/>
      <c r="F23" s="38"/>
      <c r="G23" s="39"/>
      <c r="H23" s="38"/>
      <c r="I23" s="38"/>
      <c r="J23" s="38"/>
      <c r="K23" s="38"/>
      <c r="M23" s="13">
        <f t="shared" si="0"/>
        <v>0</v>
      </c>
    </row>
    <row r="24" spans="1:19" x14ac:dyDescent="0.2">
      <c r="A24" s="8">
        <f t="shared" si="1"/>
        <v>17</v>
      </c>
      <c r="B24" s="19" t="s">
        <v>41</v>
      </c>
      <c r="C24" s="17" t="s">
        <v>42</v>
      </c>
      <c r="D24" s="41">
        <v>2364947.5421700003</v>
      </c>
      <c r="E24" s="37">
        <v>15608.262999999999</v>
      </c>
      <c r="F24" s="38"/>
      <c r="G24" s="39"/>
      <c r="H24" s="40"/>
      <c r="I24" s="39">
        <f>((J24)/E24)</f>
        <v>-6.3922950298825679E-2</v>
      </c>
      <c r="J24" s="42">
        <v>-997.72621999999967</v>
      </c>
      <c r="K24" s="37">
        <f>+E24+J24</f>
        <v>14610.536779999999</v>
      </c>
      <c r="M24" s="13">
        <f t="shared" si="0"/>
        <v>-997726.21999999962</v>
      </c>
    </row>
    <row r="25" spans="1:19" x14ac:dyDescent="0.2">
      <c r="A25" s="8">
        <f t="shared" si="1"/>
        <v>18</v>
      </c>
      <c r="C25" s="10"/>
      <c r="D25" s="41"/>
      <c r="E25" s="37"/>
      <c r="F25" s="38"/>
      <c r="G25" s="39"/>
      <c r="H25" s="38"/>
      <c r="I25" s="38"/>
      <c r="J25" s="38"/>
      <c r="K25" s="38"/>
      <c r="M25" s="13">
        <f t="shared" si="0"/>
        <v>0</v>
      </c>
    </row>
    <row r="26" spans="1:19" x14ac:dyDescent="0.2">
      <c r="A26" s="8">
        <f t="shared" si="1"/>
        <v>19</v>
      </c>
      <c r="B26" s="1" t="s">
        <v>43</v>
      </c>
      <c r="C26" s="10" t="s">
        <v>44</v>
      </c>
      <c r="D26" s="41">
        <v>69969.105296000009</v>
      </c>
      <c r="E26" s="37">
        <v>16457.504000000001</v>
      </c>
      <c r="F26" s="38"/>
      <c r="G26" s="39">
        <f t="shared" ref="G26" si="6">E26/(E$32-E$30-$E$24)</f>
        <v>8.3073934122172739E-3</v>
      </c>
      <c r="H26" s="40">
        <v>1.25</v>
      </c>
      <c r="I26" s="39">
        <f>+$I$38*H26</f>
        <v>9.6007182617913911E-2</v>
      </c>
      <c r="J26" s="37">
        <f>E26*I26</f>
        <v>1580.0385919630487</v>
      </c>
      <c r="K26" s="37">
        <f>+E26+J26</f>
        <v>18037.542591963051</v>
      </c>
      <c r="M26" s="13">
        <f t="shared" si="0"/>
        <v>1580038.5919630488</v>
      </c>
      <c r="N26" s="13"/>
      <c r="O26" s="13">
        <v>49000</v>
      </c>
    </row>
    <row r="27" spans="1:19" x14ac:dyDescent="0.2">
      <c r="A27" s="8">
        <f t="shared" si="1"/>
        <v>20</v>
      </c>
      <c r="C27" s="10"/>
      <c r="D27" s="36"/>
      <c r="E27" s="37"/>
      <c r="F27" s="38"/>
      <c r="G27" s="37"/>
      <c r="H27" s="38"/>
      <c r="I27" s="38"/>
      <c r="J27" s="38"/>
      <c r="K27" s="38"/>
      <c r="M27" s="13">
        <f t="shared" si="0"/>
        <v>0</v>
      </c>
    </row>
    <row r="28" spans="1:19" ht="12.75" thickBot="1" x14ac:dyDescent="0.25">
      <c r="A28" s="8">
        <f t="shared" si="1"/>
        <v>21</v>
      </c>
      <c r="B28" s="19" t="s">
        <v>45</v>
      </c>
      <c r="C28" s="10"/>
      <c r="D28" s="34">
        <f>D8+D14+D20+D22+D24+D26</f>
        <v>22861084.67018231</v>
      </c>
      <c r="E28" s="34">
        <f>E8+E14+E20+E22+E24+E26</f>
        <v>1996675.39</v>
      </c>
      <c r="I28" s="12">
        <f>((J28)/E28)</f>
        <v>7.1441301177437924E-2</v>
      </c>
      <c r="J28" s="34">
        <f>J8+J14+J20+J22+J24+J26</f>
        <v>142645.08789056831</v>
      </c>
      <c r="K28" s="34">
        <f>K8+K14+K20+K22+K24+K26</f>
        <v>2139320.4778905688</v>
      </c>
      <c r="M28" s="21">
        <f>M8+M14+M20+M22+M24+M26</f>
        <v>142645087.89056835</v>
      </c>
    </row>
    <row r="29" spans="1:19" ht="12.75" thickTop="1" x14ac:dyDescent="0.2">
      <c r="A29" s="8">
        <f t="shared" si="1"/>
        <v>22</v>
      </c>
      <c r="C29" s="10"/>
      <c r="D29" s="18"/>
      <c r="E29" s="13"/>
      <c r="G29" s="12"/>
      <c r="M29" s="13">
        <f t="shared" si="0"/>
        <v>0</v>
      </c>
    </row>
    <row r="30" spans="1:19" x14ac:dyDescent="0.2">
      <c r="A30" s="8">
        <f t="shared" si="1"/>
        <v>23</v>
      </c>
      <c r="B30" s="19" t="s">
        <v>46</v>
      </c>
      <c r="C30" s="17"/>
      <c r="D30" s="20">
        <v>7170.0662345252713</v>
      </c>
      <c r="E30" s="11">
        <v>327.36</v>
      </c>
      <c r="G30" s="12"/>
      <c r="H30" s="12"/>
      <c r="I30" s="12">
        <f>((J30)/E30)</f>
        <v>1.084164557159349</v>
      </c>
      <c r="J30" s="33">
        <v>354.91210943168454</v>
      </c>
      <c r="K30" s="11">
        <f>+E30+J30</f>
        <v>682.27210943168461</v>
      </c>
      <c r="M30" s="13">
        <f t="shared" si="0"/>
        <v>354912.10943168454</v>
      </c>
      <c r="O30" s="1">
        <v>0</v>
      </c>
    </row>
    <row r="31" spans="1:19" x14ac:dyDescent="0.2">
      <c r="A31" s="8">
        <f t="shared" si="1"/>
        <v>24</v>
      </c>
      <c r="C31" s="10"/>
      <c r="D31" s="15"/>
      <c r="E31" s="13"/>
      <c r="G31" s="13"/>
      <c r="M31" s="13">
        <f t="shared" si="0"/>
        <v>0</v>
      </c>
    </row>
    <row r="32" spans="1:19" ht="12.75" thickBot="1" x14ac:dyDescent="0.25">
      <c r="A32" s="8">
        <f t="shared" si="1"/>
        <v>25</v>
      </c>
      <c r="B32" s="1" t="s">
        <v>47</v>
      </c>
      <c r="C32" s="10"/>
      <c r="D32" s="21">
        <f>D28+D30</f>
        <v>22868254.736416835</v>
      </c>
      <c r="E32" s="21">
        <f>E28+E30</f>
        <v>1997002.75</v>
      </c>
      <c r="F32" s="22">
        <v>143000000</v>
      </c>
      <c r="G32" s="23">
        <f>SUM(G8:G30)</f>
        <v>1</v>
      </c>
      <c r="I32" s="23">
        <f>(+F32/1000)/E32</f>
        <v>7.160731250870836E-2</v>
      </c>
      <c r="J32" s="21">
        <f>J28+J30</f>
        <v>143000</v>
      </c>
      <c r="K32" s="21">
        <f>K28+K30</f>
        <v>2140002.7500000005</v>
      </c>
      <c r="M32" s="21">
        <f>M28+M30</f>
        <v>143000000.00000003</v>
      </c>
      <c r="O32" s="15"/>
    </row>
    <row r="33" spans="1:11" ht="12.75" thickTop="1" x14ac:dyDescent="0.2">
      <c r="A33" s="8">
        <f t="shared" si="1"/>
        <v>26</v>
      </c>
      <c r="C33" s="10"/>
      <c r="D33" s="15"/>
      <c r="E33" s="13"/>
      <c r="F33" s="13"/>
      <c r="G33" s="12"/>
      <c r="H33" s="13"/>
      <c r="I33" s="12"/>
      <c r="J33" s="24"/>
      <c r="K33" s="13"/>
    </row>
    <row r="34" spans="1:11" ht="12.75" thickBot="1" x14ac:dyDescent="0.25">
      <c r="A34" s="8">
        <f t="shared" si="1"/>
        <v>27</v>
      </c>
      <c r="C34" s="10"/>
      <c r="D34" s="10"/>
      <c r="J34" s="13"/>
      <c r="K34" s="13"/>
    </row>
    <row r="35" spans="1:11" x14ac:dyDescent="0.2">
      <c r="A35" s="8">
        <f t="shared" si="1"/>
        <v>28</v>
      </c>
      <c r="B35" s="65" t="s">
        <v>48</v>
      </c>
      <c r="C35" s="66"/>
      <c r="D35" s="66"/>
      <c r="E35" s="66"/>
      <c r="F35" s="25"/>
      <c r="G35" s="26"/>
      <c r="H35" s="25"/>
      <c r="I35" s="27">
        <f>(F32)/(E32*1000)</f>
        <v>7.160731250870836E-2</v>
      </c>
    </row>
    <row r="36" spans="1:11" x14ac:dyDescent="0.2">
      <c r="A36" s="8">
        <f t="shared" si="1"/>
        <v>29</v>
      </c>
      <c r="B36" s="67" t="s">
        <v>49</v>
      </c>
      <c r="C36" s="68"/>
      <c r="D36" s="68"/>
      <c r="E36" s="68"/>
      <c r="I36" s="28">
        <f>((F32/1000)-(J24)-(J30))/(E32-E24-E30)</f>
        <v>7.250779751622638E-2</v>
      </c>
      <c r="K36" s="13"/>
    </row>
    <row r="37" spans="1:11" x14ac:dyDescent="0.2">
      <c r="A37" s="8">
        <f t="shared" si="1"/>
        <v>30</v>
      </c>
      <c r="B37" s="69" t="s">
        <v>50</v>
      </c>
      <c r="C37" s="70"/>
      <c r="D37" s="70"/>
      <c r="E37" s="70"/>
      <c r="I37" s="29">
        <f>1/SUMPRODUCT($H$8:$H$30,$G$8:$G$30)</f>
        <v>1.0592756741389493</v>
      </c>
      <c r="K37" s="13"/>
    </row>
    <row r="38" spans="1:11" ht="12.75" thickBot="1" x14ac:dyDescent="0.25">
      <c r="A38" s="8">
        <f t="shared" si="1"/>
        <v>31</v>
      </c>
      <c r="B38" s="61" t="s">
        <v>51</v>
      </c>
      <c r="C38" s="62"/>
      <c r="D38" s="62"/>
      <c r="E38" s="62"/>
      <c r="F38" s="30"/>
      <c r="G38" s="30"/>
      <c r="H38" s="30"/>
      <c r="I38" s="31">
        <f>I37*I36</f>
        <v>7.6805746094331134E-2</v>
      </c>
      <c r="K38" s="13"/>
    </row>
    <row r="39" spans="1:11" x14ac:dyDescent="0.2">
      <c r="B39" s="32"/>
      <c r="C39" s="32"/>
      <c r="D39" s="32"/>
      <c r="E39" s="32"/>
      <c r="F39" s="32"/>
      <c r="G39" s="32"/>
    </row>
    <row r="48" spans="1:11" x14ac:dyDescent="0.2">
      <c r="F48" s="13"/>
    </row>
    <row r="49" spans="6:6" x14ac:dyDescent="0.2">
      <c r="F49" s="13"/>
    </row>
    <row r="50" spans="6:6" x14ac:dyDescent="0.2">
      <c r="F50" s="13"/>
    </row>
  </sheetData>
  <mergeCells count="7">
    <mergeCell ref="B38:E38"/>
    <mergeCell ref="A1:K1"/>
    <mergeCell ref="A2:K2"/>
    <mergeCell ref="A3:K3"/>
    <mergeCell ref="B35:E35"/>
    <mergeCell ref="B36:E36"/>
    <mergeCell ref="B37:E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583ED-C0D2-4801-B786-9A2D59AF70A5}">
  <dimension ref="A1:S44"/>
  <sheetViews>
    <sheetView showGridLines="0" tabSelected="1" workbookViewId="0">
      <pane xSplit="4" ySplit="7" topLeftCell="E21" activePane="bottomRight" state="frozen"/>
      <selection pane="topRight" activeCell="E1" sqref="E1"/>
      <selection pane="bottomLeft" activeCell="A8" sqref="A8"/>
      <selection pane="bottomRight" activeCell="J26" sqref="J26"/>
    </sheetView>
  </sheetViews>
  <sheetFormatPr defaultColWidth="9.5703125" defaultRowHeight="12" x14ac:dyDescent="0.2"/>
  <cols>
    <col min="1" max="1" width="5" style="1" customWidth="1"/>
    <col min="2" max="2" width="23.140625" style="1" bestFit="1" customWidth="1"/>
    <col min="3" max="3" width="7.42578125" style="1" bestFit="1" customWidth="1"/>
    <col min="4" max="4" width="11" style="1" customWidth="1"/>
    <col min="5" max="5" width="9.85546875" style="1" customWidth="1"/>
    <col min="6" max="6" width="9.5703125" style="1" customWidth="1"/>
    <col min="7" max="7" width="9" style="1" customWidth="1"/>
    <col min="8" max="8" width="9.28515625" style="1" customWidth="1"/>
    <col min="9" max="9" width="2.7109375" style="1" customWidth="1"/>
    <col min="10" max="10" width="8" style="1" customWidth="1"/>
    <col min="11" max="11" width="9" style="1" customWidth="1"/>
    <col min="12" max="12" width="9.5703125" style="1" customWidth="1"/>
    <col min="13" max="13" width="7.5703125" style="1" customWidth="1"/>
    <col min="14" max="14" width="9" style="1" bestFit="1" customWidth="1"/>
    <col min="15" max="15" width="8.140625" style="1" bestFit="1" customWidth="1"/>
    <col min="16" max="16" width="9" style="1" bestFit="1" customWidth="1"/>
    <col min="17" max="17" width="8" style="1" bestFit="1" customWidth="1"/>
    <col min="18" max="18" width="9.5703125" style="1"/>
    <col min="19" max="19" width="6.5703125" style="1" bestFit="1" customWidth="1"/>
    <col min="20" max="16384" width="9.5703125" style="1"/>
  </cols>
  <sheetData>
    <row r="1" spans="1:19" x14ac:dyDescent="0.2">
      <c r="A1" s="72" t="s">
        <v>0</v>
      </c>
      <c r="B1" s="73" t="s">
        <v>1</v>
      </c>
      <c r="C1" s="73"/>
      <c r="D1" s="73"/>
      <c r="E1" s="73"/>
      <c r="F1" s="73"/>
      <c r="G1" s="73"/>
      <c r="H1" s="73"/>
      <c r="I1" s="73"/>
      <c r="J1" s="73"/>
      <c r="K1" s="73"/>
    </row>
    <row r="2" spans="1:19" x14ac:dyDescent="0.2">
      <c r="A2" s="72" t="s">
        <v>2</v>
      </c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1:19" s="38" customFormat="1" x14ac:dyDescent="0.2">
      <c r="A3" s="74" t="s">
        <v>3</v>
      </c>
      <c r="B3" s="74" t="s">
        <v>3</v>
      </c>
      <c r="C3" s="74"/>
      <c r="D3" s="74"/>
      <c r="E3" s="74"/>
      <c r="F3" s="74"/>
      <c r="G3" s="74"/>
      <c r="H3" s="74"/>
      <c r="I3" s="74"/>
      <c r="J3" s="74"/>
      <c r="K3" s="74"/>
    </row>
    <row r="4" spans="1:19" ht="15" customHeight="1" x14ac:dyDescent="0.2">
      <c r="A4" s="57"/>
      <c r="B4" s="75" t="s">
        <v>76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 ht="15" customHeight="1" x14ac:dyDescent="0.2">
      <c r="B5" s="76" t="s">
        <v>77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</row>
    <row r="6" spans="1:19" ht="48" x14ac:dyDescent="0.2">
      <c r="A6" s="3" t="s">
        <v>4</v>
      </c>
      <c r="B6" s="77" t="s">
        <v>5</v>
      </c>
      <c r="C6" s="77" t="s">
        <v>6</v>
      </c>
      <c r="D6" s="78" t="s">
        <v>7</v>
      </c>
      <c r="E6" s="78" t="s">
        <v>52</v>
      </c>
      <c r="F6" s="78" t="s">
        <v>68</v>
      </c>
      <c r="G6" s="78" t="s">
        <v>53</v>
      </c>
      <c r="H6" s="78" t="s">
        <v>54</v>
      </c>
      <c r="I6" s="79"/>
      <c r="J6" s="78" t="s">
        <v>69</v>
      </c>
      <c r="K6" s="78" t="s">
        <v>70</v>
      </c>
      <c r="L6" s="80"/>
      <c r="M6" s="77" t="s">
        <v>59</v>
      </c>
      <c r="N6" s="77" t="s">
        <v>60</v>
      </c>
      <c r="O6" s="77" t="s">
        <v>64</v>
      </c>
      <c r="P6" s="77" t="s">
        <v>65</v>
      </c>
      <c r="Q6" s="77" t="s">
        <v>66</v>
      </c>
      <c r="R6" s="77" t="s">
        <v>67</v>
      </c>
      <c r="S6" s="77" t="s">
        <v>75</v>
      </c>
    </row>
    <row r="7" spans="1:19" x14ac:dyDescent="0.2">
      <c r="A7" s="5"/>
      <c r="B7" s="81"/>
      <c r="C7" s="82"/>
      <c r="D7" s="82" t="s">
        <v>16</v>
      </c>
      <c r="E7" s="82" t="s">
        <v>17</v>
      </c>
      <c r="F7" s="82" t="s">
        <v>18</v>
      </c>
      <c r="G7" s="82"/>
      <c r="H7" s="82"/>
      <c r="I7" s="83"/>
      <c r="J7" s="82"/>
      <c r="K7" s="82"/>
      <c r="L7" s="80"/>
      <c r="M7" s="80"/>
      <c r="N7" s="80"/>
      <c r="O7" s="80"/>
      <c r="P7" s="80"/>
      <c r="Q7" s="80"/>
      <c r="R7" s="80"/>
      <c r="S7" s="80"/>
    </row>
    <row r="8" spans="1:19" x14ac:dyDescent="0.2">
      <c r="A8" s="5"/>
      <c r="B8" s="81"/>
      <c r="C8" s="82"/>
      <c r="D8" s="83"/>
      <c r="E8" s="83"/>
      <c r="F8" s="83"/>
      <c r="G8" s="83"/>
      <c r="H8" s="83"/>
      <c r="I8" s="83"/>
      <c r="J8" s="83"/>
      <c r="K8" s="83"/>
      <c r="L8" s="80"/>
      <c r="M8" s="80"/>
      <c r="N8" s="80"/>
      <c r="O8" s="80"/>
      <c r="P8" s="80"/>
      <c r="Q8" s="84"/>
      <c r="R8" s="80"/>
      <c r="S8" s="80"/>
    </row>
    <row r="9" spans="1:19" x14ac:dyDescent="0.2">
      <c r="A9" s="8">
        <v>1</v>
      </c>
      <c r="B9" s="85" t="s">
        <v>24</v>
      </c>
      <c r="C9" s="86">
        <v>7</v>
      </c>
      <c r="D9" s="87">
        <v>10623030.235689331</v>
      </c>
      <c r="E9" s="88">
        <v>1105896.514</v>
      </c>
      <c r="F9" s="88">
        <v>84939.206860889914</v>
      </c>
      <c r="G9" s="89">
        <f>F9/E9</f>
        <v>7.6805746094331134E-2</v>
      </c>
      <c r="H9" s="90">
        <f>G9/G$31</f>
        <v>1.0750888467662365</v>
      </c>
      <c r="I9" s="90"/>
      <c r="J9" s="91">
        <v>-1580</v>
      </c>
      <c r="K9" s="91">
        <f>J9+F9</f>
        <v>83359.206860889914</v>
      </c>
      <c r="L9" s="14"/>
      <c r="M9" s="59">
        <v>0.97</v>
      </c>
      <c r="N9" s="80"/>
      <c r="O9" s="59">
        <v>1</v>
      </c>
      <c r="P9" s="92">
        <f ca="1">O9*P$42*E9</f>
        <v>80180.696760058083</v>
      </c>
      <c r="Q9" s="84">
        <f ca="1">P9+N9</f>
        <v>80180.696760058083</v>
      </c>
      <c r="R9" s="93">
        <f ca="1">Q9/E9</f>
        <v>7.2502893123377807E-2</v>
      </c>
      <c r="S9" s="59">
        <f ca="1">R9/G$31</f>
        <v>1.0148596390105382</v>
      </c>
    </row>
    <row r="10" spans="1:19" x14ac:dyDescent="0.2">
      <c r="A10" s="8">
        <f>+A9+1</f>
        <v>2</v>
      </c>
      <c r="B10" s="80"/>
      <c r="C10" s="86"/>
      <c r="D10" s="87"/>
      <c r="E10" s="88"/>
      <c r="F10" s="88"/>
      <c r="G10" s="88"/>
      <c r="H10" s="88"/>
      <c r="I10" s="88"/>
      <c r="J10" s="91"/>
      <c r="K10" s="91"/>
      <c r="L10" s="14"/>
      <c r="M10" s="59"/>
      <c r="N10" s="80"/>
      <c r="O10" s="80"/>
      <c r="P10" s="94"/>
      <c r="Q10" s="84"/>
      <c r="R10" s="80"/>
      <c r="S10" s="80"/>
    </row>
    <row r="11" spans="1:19" x14ac:dyDescent="0.2">
      <c r="A11" s="8">
        <f t="shared" ref="A11:A35" si="0">+A10+1</f>
        <v>3</v>
      </c>
      <c r="B11" s="80" t="s">
        <v>25</v>
      </c>
      <c r="C11" s="86"/>
      <c r="D11" s="87"/>
      <c r="E11" s="88"/>
      <c r="F11" s="88"/>
      <c r="G11" s="88"/>
      <c r="H11" s="88"/>
      <c r="I11" s="88"/>
      <c r="J11" s="91"/>
      <c r="K11" s="91"/>
      <c r="L11" s="14"/>
      <c r="M11" s="59"/>
      <c r="N11" s="80"/>
      <c r="O11" s="80"/>
      <c r="P11" s="94"/>
      <c r="Q11" s="84"/>
      <c r="R11" s="80"/>
      <c r="S11" s="80"/>
    </row>
    <row r="12" spans="1:19" x14ac:dyDescent="0.2">
      <c r="A12" s="8">
        <f t="shared" si="0"/>
        <v>4</v>
      </c>
      <c r="B12" s="95" t="s">
        <v>26</v>
      </c>
      <c r="C12" s="96">
        <v>24</v>
      </c>
      <c r="D12" s="97">
        <v>2700129.1967702867</v>
      </c>
      <c r="E12" s="88">
        <v>263390.397</v>
      </c>
      <c r="F12" s="88">
        <v>20229.895955667078</v>
      </c>
      <c r="G12" s="89">
        <f>F12/E12</f>
        <v>7.6805746094331134E-2</v>
      </c>
      <c r="H12" s="90">
        <f>G12/G$31</f>
        <v>1.0750888467662365</v>
      </c>
      <c r="I12" s="90"/>
      <c r="J12" s="91">
        <v>-342</v>
      </c>
      <c r="K12" s="91">
        <f>J12+F12</f>
        <v>19887.895955667078</v>
      </c>
      <c r="L12" s="14"/>
      <c r="M12" s="59">
        <v>1.05</v>
      </c>
      <c r="N12" s="84"/>
      <c r="O12" s="59">
        <v>1</v>
      </c>
      <c r="P12" s="92">
        <f ca="1">O12*P$42*E12</f>
        <v>19096.565803415051</v>
      </c>
      <c r="Q12" s="84">
        <f ca="1">P12+N12</f>
        <v>19096.565803415051</v>
      </c>
      <c r="R12" s="93">
        <f ca="1">Q12/E12</f>
        <v>7.2502893123377807E-2</v>
      </c>
      <c r="S12" s="59">
        <f ca="1">R12/G$31</f>
        <v>1.0148596390105382</v>
      </c>
    </row>
    <row r="13" spans="1:19" x14ac:dyDescent="0.2">
      <c r="A13" s="8">
        <f t="shared" si="0"/>
        <v>5</v>
      </c>
      <c r="B13" s="95" t="s">
        <v>71</v>
      </c>
      <c r="C13" s="96" t="s">
        <v>74</v>
      </c>
      <c r="D13" s="97">
        <v>3006173.6873569316</v>
      </c>
      <c r="E13" s="88">
        <v>270703.24200000003</v>
      </c>
      <c r="F13" s="88">
        <v>15593.673353973209</v>
      </c>
      <c r="G13" s="89">
        <f>F13/E13</f>
        <v>5.7604309570748351E-2</v>
      </c>
      <c r="H13" s="90">
        <f>G13/G$31</f>
        <v>0.80631663507467743</v>
      </c>
      <c r="I13" s="90"/>
      <c r="J13" s="91">
        <v>-364</v>
      </c>
      <c r="K13" s="91">
        <f>J13+F13</f>
        <v>15229.673353973209</v>
      </c>
      <c r="L13" s="14"/>
      <c r="M13" s="59">
        <v>1.06</v>
      </c>
      <c r="N13" s="84"/>
      <c r="O13" s="59">
        <v>1</v>
      </c>
      <c r="P13" s="92">
        <f ca="1">O13*P$42*E13</f>
        <v>19626.768222877879</v>
      </c>
      <c r="Q13" s="84">
        <f ca="1">P13+N13</f>
        <v>19626.768222877879</v>
      </c>
      <c r="R13" s="93">
        <f ca="1">Q13/E13</f>
        <v>7.2502893123377807E-2</v>
      </c>
      <c r="S13" s="59">
        <f ca="1">R13/G$31</f>
        <v>1.0148596390105382</v>
      </c>
    </row>
    <row r="14" spans="1:19" s="51" customFormat="1" x14ac:dyDescent="0.2">
      <c r="A14" s="43">
        <f t="shared" si="0"/>
        <v>6</v>
      </c>
      <c r="B14" s="98" t="s">
        <v>30</v>
      </c>
      <c r="C14" s="99">
        <v>26</v>
      </c>
      <c r="D14" s="100">
        <v>1941301.3639308119</v>
      </c>
      <c r="E14" s="101">
        <v>160280.84099999999</v>
      </c>
      <c r="F14" s="101">
        <v>9232.8671832238942</v>
      </c>
      <c r="G14" s="89">
        <f>F14/E14</f>
        <v>5.7604309570748351E-2</v>
      </c>
      <c r="H14" s="90">
        <f>G14/G$31</f>
        <v>0.80631663507467743</v>
      </c>
      <c r="I14" s="102"/>
      <c r="J14" s="103">
        <v>-258</v>
      </c>
      <c r="K14" s="103">
        <f>J14+F14</f>
        <v>8974.8671832238942</v>
      </c>
      <c r="L14" s="53"/>
      <c r="M14" s="60">
        <v>1.06</v>
      </c>
      <c r="N14" s="104"/>
      <c r="O14" s="60">
        <v>1</v>
      </c>
      <c r="P14" s="105">
        <f ca="1">O14*P$42*E14</f>
        <v>11620.824684748111</v>
      </c>
      <c r="Q14" s="104">
        <f ca="1">P14+N14</f>
        <v>11620.824684748111</v>
      </c>
      <c r="R14" s="106">
        <f ca="1">Q14/E14</f>
        <v>7.2502893123377807E-2</v>
      </c>
      <c r="S14" s="60">
        <f ca="1">R14/G$31</f>
        <v>1.0148596390105382</v>
      </c>
    </row>
    <row r="15" spans="1:19" x14ac:dyDescent="0.2">
      <c r="A15" s="8">
        <f t="shared" si="0"/>
        <v>7</v>
      </c>
      <c r="B15" s="107" t="s">
        <v>32</v>
      </c>
      <c r="C15" s="86"/>
      <c r="D15" s="97">
        <f>SUM(D12:D14)</f>
        <v>7647604.2480580304</v>
      </c>
      <c r="E15" s="97">
        <f>SUM(E12:E14)</f>
        <v>694374.48</v>
      </c>
      <c r="F15" s="97">
        <f>SUM(F12:F14)</f>
        <v>45056.436492864173</v>
      </c>
      <c r="G15" s="89"/>
      <c r="H15" s="90"/>
      <c r="I15" s="90"/>
      <c r="J15" s="91">
        <f>SUM(J12:J14)</f>
        <v>-964</v>
      </c>
      <c r="K15" s="91">
        <f>SUM(K12:K14)</f>
        <v>44092.436492864173</v>
      </c>
      <c r="L15" s="14"/>
      <c r="M15" s="59"/>
      <c r="N15" s="84"/>
      <c r="O15" s="108"/>
      <c r="P15" s="94">
        <f ca="1">SUM(P12:P14)</f>
        <v>50344.15871104104</v>
      </c>
      <c r="Q15" s="94">
        <f ca="1">SUM(Q12:Q14)</f>
        <v>50344.15871104104</v>
      </c>
      <c r="R15" s="80"/>
      <c r="S15" s="80"/>
    </row>
    <row r="16" spans="1:19" x14ac:dyDescent="0.2">
      <c r="A16" s="8">
        <f t="shared" si="0"/>
        <v>8</v>
      </c>
      <c r="B16" s="80"/>
      <c r="C16" s="86"/>
      <c r="D16" s="97"/>
      <c r="E16" s="88"/>
      <c r="F16" s="88"/>
      <c r="G16" s="88"/>
      <c r="H16" s="88"/>
      <c r="I16" s="88"/>
      <c r="J16" s="91"/>
      <c r="K16" s="91"/>
      <c r="L16" s="14"/>
      <c r="M16" s="59"/>
      <c r="N16" s="84"/>
      <c r="O16" s="80"/>
      <c r="P16" s="94"/>
      <c r="Q16" s="84"/>
      <c r="R16" s="80"/>
      <c r="S16" s="80"/>
    </row>
    <row r="17" spans="1:19" x14ac:dyDescent="0.2">
      <c r="A17" s="8">
        <f t="shared" si="0"/>
        <v>9</v>
      </c>
      <c r="B17" s="80" t="s">
        <v>33</v>
      </c>
      <c r="C17" s="86"/>
      <c r="D17" s="97"/>
      <c r="E17" s="88"/>
      <c r="F17" s="88"/>
      <c r="G17" s="88"/>
      <c r="H17" s="88"/>
      <c r="I17" s="88"/>
      <c r="J17" s="91"/>
      <c r="K17" s="91"/>
      <c r="L17" s="14"/>
      <c r="M17" s="59"/>
      <c r="N17" s="84"/>
      <c r="O17" s="80"/>
      <c r="P17" s="94"/>
      <c r="Q17" s="84"/>
      <c r="R17" s="80"/>
      <c r="S17" s="80"/>
    </row>
    <row r="18" spans="1:19" x14ac:dyDescent="0.2">
      <c r="A18" s="8">
        <f t="shared" si="0"/>
        <v>10</v>
      </c>
      <c r="B18" s="95" t="s">
        <v>34</v>
      </c>
      <c r="C18" s="96">
        <v>31</v>
      </c>
      <c r="D18" s="97">
        <v>1407978.352242965</v>
      </c>
      <c r="E18" s="88">
        <v>113255.217</v>
      </c>
      <c r="F18" s="88">
        <v>8698.6514407603754</v>
      </c>
      <c r="G18" s="89">
        <f>F18/E18</f>
        <v>7.6805746094331134E-2</v>
      </c>
      <c r="H18" s="90">
        <f>G18/G$31</f>
        <v>1.0750888467662365</v>
      </c>
      <c r="I18" s="90"/>
      <c r="J18" s="91">
        <v>-169</v>
      </c>
      <c r="K18" s="91">
        <f>J18+F18</f>
        <v>8529.6514407603754</v>
      </c>
      <c r="L18" s="14"/>
      <c r="M18" s="59">
        <v>1.02</v>
      </c>
      <c r="N18" s="84"/>
      <c r="O18" s="59">
        <v>1</v>
      </c>
      <c r="P18" s="92">
        <f ca="1">O18*P$42*E18</f>
        <v>8211.3308938159607</v>
      </c>
      <c r="Q18" s="84">
        <f ca="1">P18+N18</f>
        <v>8211.3308938159607</v>
      </c>
      <c r="R18" s="93">
        <f ca="1">Q18/E18</f>
        <v>7.2502893123377793E-2</v>
      </c>
      <c r="S18" s="59">
        <f ca="1">R18/G$31</f>
        <v>1.014859639010538</v>
      </c>
    </row>
    <row r="19" spans="1:19" x14ac:dyDescent="0.2">
      <c r="A19" s="8">
        <f t="shared" si="0"/>
        <v>11</v>
      </c>
      <c r="B19" s="95" t="s">
        <v>36</v>
      </c>
      <c r="C19" s="96">
        <v>35</v>
      </c>
      <c r="D19" s="97">
        <v>4443.66</v>
      </c>
      <c r="E19" s="88">
        <v>268.01499999999999</v>
      </c>
      <c r="F19" s="88">
        <v>30.877638059208238</v>
      </c>
      <c r="G19" s="89">
        <f>F19/E19</f>
        <v>0.1152086191414967</v>
      </c>
      <c r="H19" s="90">
        <f>G19/G$31</f>
        <v>1.6126332701493549</v>
      </c>
      <c r="I19" s="90"/>
      <c r="J19" s="91">
        <v>0</v>
      </c>
      <c r="K19" s="91">
        <f>J19+F19</f>
        <v>30.877638059208238</v>
      </c>
      <c r="L19" s="14"/>
      <c r="M19" s="59">
        <v>0.52</v>
      </c>
      <c r="N19" s="84"/>
      <c r="O19" s="59">
        <v>1.5</v>
      </c>
      <c r="P19" s="92">
        <f ca="1">O19*P$42*E19</f>
        <v>29.14779435069315</v>
      </c>
      <c r="Q19" s="84">
        <f ca="1">P19+N19</f>
        <v>29.14779435069315</v>
      </c>
      <c r="R19" s="93">
        <f ca="1">Q19/E19</f>
        <v>0.1087543396850667</v>
      </c>
      <c r="S19" s="59">
        <f ca="1">R19/G$31</f>
        <v>1.5222894585158073</v>
      </c>
    </row>
    <row r="20" spans="1:19" s="51" customFormat="1" x14ac:dyDescent="0.2">
      <c r="A20" s="43">
        <f t="shared" si="0"/>
        <v>12</v>
      </c>
      <c r="B20" s="109" t="s">
        <v>72</v>
      </c>
      <c r="C20" s="110">
        <v>43</v>
      </c>
      <c r="D20" s="100">
        <v>122500.71332397975</v>
      </c>
      <c r="E20" s="101">
        <v>10687.148999999999</v>
      </c>
      <c r="F20" s="101">
        <v>1026.0430657078559</v>
      </c>
      <c r="G20" s="89">
        <f>F20/E20</f>
        <v>9.6007182617913911E-2</v>
      </c>
      <c r="H20" s="90">
        <f>G20/G$31</f>
        <v>1.3438610584577957</v>
      </c>
      <c r="I20" s="102"/>
      <c r="J20" s="103">
        <v>-12</v>
      </c>
      <c r="K20" s="103">
        <f>J20+F20</f>
        <v>1014.0430657078559</v>
      </c>
      <c r="L20" s="53"/>
      <c r="M20" s="60">
        <v>0.91</v>
      </c>
      <c r="N20" s="104"/>
      <c r="O20" s="60">
        <v>1</v>
      </c>
      <c r="P20" s="105">
        <f ca="1">O20*P$42*E20</f>
        <v>774.84922174061398</v>
      </c>
      <c r="Q20" s="104">
        <f ca="1">P20+N20</f>
        <v>774.84922174061398</v>
      </c>
      <c r="R20" s="106">
        <f ca="1">Q20/E20</f>
        <v>7.2502893123377807E-2</v>
      </c>
      <c r="S20" s="60">
        <f ca="1">R20/G$31</f>
        <v>1.0148596390105382</v>
      </c>
    </row>
    <row r="21" spans="1:19" x14ac:dyDescent="0.2">
      <c r="A21" s="8">
        <f t="shared" si="0"/>
        <v>13</v>
      </c>
      <c r="B21" s="85" t="s">
        <v>38</v>
      </c>
      <c r="C21" s="86"/>
      <c r="D21" s="97">
        <f>SUM(D18:D20)</f>
        <v>1534922.7255669446</v>
      </c>
      <c r="E21" s="97">
        <f>SUM(E18:E20)</f>
        <v>124210.38100000001</v>
      </c>
      <c r="F21" s="97">
        <f>SUM(F18:F20)</f>
        <v>9755.5721445274394</v>
      </c>
      <c r="G21" s="89"/>
      <c r="H21" s="90"/>
      <c r="I21" s="90"/>
      <c r="J21" s="91">
        <f>SUM(J18:J20)</f>
        <v>-181</v>
      </c>
      <c r="K21" s="91">
        <f>SUM(K18:K20)</f>
        <v>9574.5721445274394</v>
      </c>
      <c r="L21" s="14"/>
      <c r="M21" s="59"/>
      <c r="N21" s="84"/>
      <c r="O21" s="80"/>
      <c r="P21" s="94">
        <f ca="1">SUM(P18:P20)</f>
        <v>9015.3279099072679</v>
      </c>
      <c r="Q21" s="94">
        <f ca="1">SUM(Q18:Q20)</f>
        <v>9015.3279099072679</v>
      </c>
      <c r="R21" s="80"/>
      <c r="S21" s="80"/>
    </row>
    <row r="22" spans="1:19" x14ac:dyDescent="0.2">
      <c r="A22" s="8">
        <f t="shared" si="0"/>
        <v>14</v>
      </c>
      <c r="B22" s="80"/>
      <c r="C22" s="86"/>
      <c r="D22" s="97"/>
      <c r="E22" s="88"/>
      <c r="F22" s="111"/>
      <c r="G22" s="111"/>
      <c r="H22" s="111"/>
      <c r="I22" s="111"/>
      <c r="J22" s="91"/>
      <c r="K22" s="91"/>
      <c r="L22" s="80"/>
      <c r="M22" s="59"/>
      <c r="N22" s="84"/>
      <c r="O22" s="80"/>
      <c r="P22" s="94"/>
      <c r="Q22" s="84"/>
      <c r="R22" s="80"/>
      <c r="S22" s="80"/>
    </row>
    <row r="23" spans="1:19" x14ac:dyDescent="0.2">
      <c r="A23" s="8">
        <f t="shared" si="0"/>
        <v>15</v>
      </c>
      <c r="B23" s="107" t="s">
        <v>39</v>
      </c>
      <c r="C23" s="86" t="s">
        <v>40</v>
      </c>
      <c r="D23" s="97">
        <v>620610.81340199988</v>
      </c>
      <c r="E23" s="88">
        <v>40128.248</v>
      </c>
      <c r="F23" s="88">
        <v>2311.5600203237632</v>
      </c>
      <c r="G23" s="89">
        <f>F23/E23</f>
        <v>5.7604309570748344E-2</v>
      </c>
      <c r="H23" s="90">
        <f>G23/G$31</f>
        <v>0.80631663507467732</v>
      </c>
      <c r="I23" s="90"/>
      <c r="J23" s="91">
        <v>-343</v>
      </c>
      <c r="K23" s="91">
        <f>J23+F23</f>
        <v>1968.5600203237632</v>
      </c>
      <c r="L23" s="80"/>
      <c r="M23" s="59">
        <v>1.07</v>
      </c>
      <c r="N23" s="84"/>
      <c r="O23" s="59">
        <v>1</v>
      </c>
      <c r="P23" s="92">
        <f ca="1">O23*P$42*E23</f>
        <v>2909.4140759723991</v>
      </c>
      <c r="Q23" s="84">
        <f ca="1">P23+N23</f>
        <v>2909.4140759723991</v>
      </c>
      <c r="R23" s="93">
        <f ca="1">Q23/E23</f>
        <v>7.2502893123377807E-2</v>
      </c>
      <c r="S23" s="59">
        <f ca="1">R23/G$31</f>
        <v>1.0148596390105382</v>
      </c>
    </row>
    <row r="24" spans="1:19" x14ac:dyDescent="0.2">
      <c r="A24" s="8">
        <f t="shared" si="0"/>
        <v>16</v>
      </c>
      <c r="B24" s="80"/>
      <c r="C24" s="86"/>
      <c r="D24" s="97"/>
      <c r="E24" s="88"/>
      <c r="F24" s="111"/>
      <c r="G24" s="111"/>
      <c r="H24" s="111"/>
      <c r="I24" s="111"/>
      <c r="J24" s="91"/>
      <c r="K24" s="91"/>
      <c r="L24" s="80"/>
      <c r="M24" s="59"/>
      <c r="N24" s="84"/>
      <c r="O24" s="80"/>
      <c r="P24" s="94"/>
      <c r="Q24" s="84"/>
      <c r="R24" s="80"/>
      <c r="S24" s="80"/>
    </row>
    <row r="25" spans="1:19" x14ac:dyDescent="0.2">
      <c r="A25" s="8">
        <f t="shared" si="0"/>
        <v>17</v>
      </c>
      <c r="B25" s="107" t="s">
        <v>55</v>
      </c>
      <c r="C25" s="96" t="s">
        <v>58</v>
      </c>
      <c r="D25" s="97">
        <v>2028727.0061700002</v>
      </c>
      <c r="E25" s="88">
        <v>10114.356</v>
      </c>
      <c r="F25" s="88">
        <v>76.800999999999476</v>
      </c>
      <c r="G25" s="89">
        <f>F25/E25</f>
        <v>7.5932664422726946E-3</v>
      </c>
      <c r="H25" s="90">
        <f>G25/G$31</f>
        <v>0.10628678813412687</v>
      </c>
      <c r="I25" s="90"/>
      <c r="J25" s="91">
        <v>0</v>
      </c>
      <c r="K25" s="91">
        <f>J25+F25</f>
        <v>76.800999999999476</v>
      </c>
      <c r="L25" s="80"/>
      <c r="M25" s="59">
        <v>0.89</v>
      </c>
      <c r="N25" s="84">
        <f>F25</f>
        <v>76.800999999999476</v>
      </c>
      <c r="O25" s="80"/>
      <c r="P25" s="94"/>
      <c r="Q25" s="84">
        <f>P25+N25</f>
        <v>76.800999999999476</v>
      </c>
      <c r="R25" s="93">
        <f>Q25/E25</f>
        <v>7.5932664422726946E-3</v>
      </c>
      <c r="S25" s="59">
        <f>R25/G$31</f>
        <v>0.10628678813412687</v>
      </c>
    </row>
    <row r="26" spans="1:19" x14ac:dyDescent="0.2">
      <c r="A26" s="8">
        <f t="shared" si="0"/>
        <v>18</v>
      </c>
      <c r="B26" s="107"/>
      <c r="C26" s="96"/>
      <c r="D26" s="80"/>
      <c r="E26" s="88"/>
      <c r="F26" s="88"/>
      <c r="G26" s="89"/>
      <c r="H26" s="90"/>
      <c r="I26" s="90"/>
      <c r="J26" s="91"/>
      <c r="K26" s="91"/>
      <c r="L26" s="80"/>
      <c r="M26" s="59"/>
      <c r="N26" s="84"/>
      <c r="O26" s="80"/>
      <c r="P26" s="94"/>
      <c r="Q26" s="84"/>
      <c r="R26" s="80"/>
      <c r="S26" s="80"/>
    </row>
    <row r="27" spans="1:19" x14ac:dyDescent="0.2">
      <c r="A27" s="8">
        <f t="shared" si="0"/>
        <v>19</v>
      </c>
      <c r="B27" s="107" t="s">
        <v>56</v>
      </c>
      <c r="C27" s="96" t="s">
        <v>57</v>
      </c>
      <c r="D27" s="97">
        <v>336220.53600000002</v>
      </c>
      <c r="E27" s="88">
        <v>5493.9070000000002</v>
      </c>
      <c r="F27" s="88">
        <v>-1074.5272199999999</v>
      </c>
      <c r="G27" s="89">
        <f>F27/E27</f>
        <v>-0.19558525835985208</v>
      </c>
      <c r="H27" s="90">
        <f>G27/G$31</f>
        <v>-2.7377057127512168</v>
      </c>
      <c r="I27" s="90"/>
      <c r="J27" s="91">
        <v>0</v>
      </c>
      <c r="K27" s="91">
        <f>J27+F27</f>
        <v>-1074.5272199999999</v>
      </c>
      <c r="L27" s="80"/>
      <c r="M27" s="59">
        <v>1</v>
      </c>
      <c r="N27" s="84">
        <f>F27</f>
        <v>-1074.5272199999999</v>
      </c>
      <c r="O27" s="80"/>
      <c r="P27" s="94"/>
      <c r="Q27" s="84">
        <f>P27+N27</f>
        <v>-1074.5272199999999</v>
      </c>
      <c r="R27" s="93">
        <f>Q27/E27</f>
        <v>-0.19558525835985208</v>
      </c>
      <c r="S27" s="59">
        <f>R27/G$31</f>
        <v>-2.7377057127512168</v>
      </c>
    </row>
    <row r="28" spans="1:19" x14ac:dyDescent="0.2">
      <c r="A28" s="8">
        <f t="shared" si="0"/>
        <v>20</v>
      </c>
      <c r="B28" s="80"/>
      <c r="C28" s="86"/>
      <c r="D28" s="97"/>
      <c r="E28" s="88"/>
      <c r="F28" s="111"/>
      <c r="G28" s="111"/>
      <c r="H28" s="111"/>
      <c r="I28" s="111"/>
      <c r="J28" s="91"/>
      <c r="K28" s="91"/>
      <c r="L28" s="80"/>
      <c r="M28" s="59"/>
      <c r="N28" s="84"/>
      <c r="O28" s="80"/>
      <c r="P28" s="94"/>
      <c r="Q28" s="84"/>
      <c r="R28" s="80"/>
      <c r="S28" s="80"/>
    </row>
    <row r="29" spans="1:19" x14ac:dyDescent="0.2">
      <c r="A29" s="8">
        <f t="shared" si="0"/>
        <v>21</v>
      </c>
      <c r="B29" s="80" t="s">
        <v>43</v>
      </c>
      <c r="C29" s="86" t="s">
        <v>44</v>
      </c>
      <c r="D29" s="97">
        <v>69969.105296000009</v>
      </c>
      <c r="E29" s="88">
        <v>16457.504000000001</v>
      </c>
      <c r="F29" s="88">
        <v>1580.0385919630487</v>
      </c>
      <c r="G29" s="89">
        <f>F29/E29</f>
        <v>9.6007182617913911E-2</v>
      </c>
      <c r="H29" s="90">
        <f>G29/G$31</f>
        <v>1.3438610584577957</v>
      </c>
      <c r="I29" s="90"/>
      <c r="J29" s="91">
        <v>-49</v>
      </c>
      <c r="K29" s="91">
        <f>J29+F29</f>
        <v>1531.0385919630487</v>
      </c>
      <c r="L29" s="80"/>
      <c r="M29" s="59">
        <v>0.93</v>
      </c>
      <c r="N29" s="84"/>
      <c r="O29" s="59">
        <v>1</v>
      </c>
      <c r="P29" s="92">
        <f ca="1">O29*P$42*E29</f>
        <v>1193.2166535895628</v>
      </c>
      <c r="Q29" s="84">
        <f ca="1">P29+N29</f>
        <v>1193.2166535895628</v>
      </c>
      <c r="R29" s="93">
        <f ca="1">Q29/E29</f>
        <v>7.2502893123377807E-2</v>
      </c>
      <c r="S29" s="59">
        <f ca="1">R29/G$31</f>
        <v>1.0148596390105382</v>
      </c>
    </row>
    <row r="30" spans="1:19" x14ac:dyDescent="0.2">
      <c r="A30" s="8">
        <f t="shared" si="0"/>
        <v>22</v>
      </c>
      <c r="B30" s="112"/>
      <c r="C30" s="113"/>
      <c r="D30" s="114"/>
      <c r="E30" s="115"/>
      <c r="F30" s="112"/>
      <c r="G30" s="112"/>
      <c r="H30" s="112"/>
      <c r="I30" s="112"/>
      <c r="J30" s="116"/>
      <c r="K30" s="116"/>
      <c r="L30" s="80"/>
      <c r="M30" s="117"/>
      <c r="N30" s="118"/>
      <c r="O30" s="112"/>
      <c r="P30" s="119"/>
      <c r="Q30" s="118"/>
      <c r="R30" s="112"/>
      <c r="S30" s="112"/>
    </row>
    <row r="31" spans="1:19" ht="12.75" thickBot="1" x14ac:dyDescent="0.25">
      <c r="A31" s="8">
        <f t="shared" si="0"/>
        <v>23</v>
      </c>
      <c r="B31" s="120" t="s">
        <v>73</v>
      </c>
      <c r="C31" s="121"/>
      <c r="D31" s="122">
        <f>D9+D15+D21+D23+D25+D29+D27</f>
        <v>22861084.67018231</v>
      </c>
      <c r="E31" s="122">
        <f>E9+E15+E21+E23+E25+E29+E27</f>
        <v>1996675.3899999997</v>
      </c>
      <c r="F31" s="122">
        <f>F9+F15+F21+F23+F25+F29+F27</f>
        <v>142645.08789056833</v>
      </c>
      <c r="G31" s="123">
        <f>F31/E31</f>
        <v>7.1441301177437938E-2</v>
      </c>
      <c r="H31" s="124">
        <f>G31/G$31</f>
        <v>1</v>
      </c>
      <c r="I31" s="124"/>
      <c r="J31" s="122">
        <f>J9+J15+J21+J23+J25+J29+J27</f>
        <v>-3117</v>
      </c>
      <c r="K31" s="122">
        <f>K9+K15+K21+K23+K25+K29+K27</f>
        <v>139528.08789056833</v>
      </c>
      <c r="L31" s="80"/>
      <c r="M31" s="125"/>
      <c r="N31" s="126">
        <f>SUM(N9:N30)</f>
        <v>-997.72622000000047</v>
      </c>
      <c r="O31" s="127"/>
      <c r="P31" s="128">
        <f ca="1">P29+P23+P21+P15+P9</f>
        <v>143642.81411056835</v>
      </c>
      <c r="Q31" s="128">
        <f ca="1">P31+N31</f>
        <v>142645.08789056833</v>
      </c>
      <c r="R31" s="123">
        <f ca="1">Q31/E31</f>
        <v>7.1441301177437938E-2</v>
      </c>
      <c r="S31" s="127"/>
    </row>
    <row r="32" spans="1:19" ht="12.75" thickTop="1" x14ac:dyDescent="0.2">
      <c r="A32" s="8">
        <f t="shared" si="0"/>
        <v>24</v>
      </c>
      <c r="B32" s="80"/>
      <c r="C32" s="86"/>
      <c r="D32" s="129"/>
      <c r="E32" s="130"/>
      <c r="F32" s="80"/>
      <c r="G32" s="80"/>
      <c r="H32" s="80"/>
      <c r="I32" s="80"/>
      <c r="J32" s="131"/>
      <c r="K32" s="131"/>
      <c r="L32" s="80"/>
      <c r="M32" s="59"/>
      <c r="N32" s="84"/>
      <c r="O32" s="80"/>
      <c r="P32" s="94"/>
      <c r="Q32" s="84"/>
      <c r="R32" s="80"/>
      <c r="S32" s="80"/>
    </row>
    <row r="33" spans="1:19" x14ac:dyDescent="0.2">
      <c r="A33" s="8">
        <f t="shared" si="0"/>
        <v>25</v>
      </c>
      <c r="B33" s="107" t="s">
        <v>46</v>
      </c>
      <c r="C33" s="96"/>
      <c r="D33" s="97">
        <v>7170.0662345252713</v>
      </c>
      <c r="E33" s="88">
        <v>327.36</v>
      </c>
      <c r="F33" s="88">
        <v>354.91210943168454</v>
      </c>
      <c r="G33" s="89">
        <f>F33/E33</f>
        <v>1.084164557159349</v>
      </c>
      <c r="H33" s="90"/>
      <c r="I33" s="90"/>
      <c r="J33" s="91">
        <v>0</v>
      </c>
      <c r="K33" s="91">
        <f>J33+F33</f>
        <v>354.91210943168454</v>
      </c>
      <c r="L33" s="80"/>
      <c r="M33" s="59">
        <v>0.48</v>
      </c>
      <c r="N33" s="84">
        <f>F33</f>
        <v>354.91210943168454</v>
      </c>
      <c r="O33" s="80"/>
      <c r="P33" s="94"/>
      <c r="Q33" s="84">
        <f>P33+N33</f>
        <v>354.91210943168454</v>
      </c>
      <c r="R33" s="93"/>
      <c r="S33" s="59"/>
    </row>
    <row r="34" spans="1:19" x14ac:dyDescent="0.2">
      <c r="A34" s="8">
        <f t="shared" si="0"/>
        <v>26</v>
      </c>
      <c r="B34" s="112"/>
      <c r="C34" s="113"/>
      <c r="D34" s="114"/>
      <c r="E34" s="115"/>
      <c r="F34" s="112"/>
      <c r="G34" s="112"/>
      <c r="H34" s="112"/>
      <c r="I34" s="112"/>
      <c r="J34" s="116"/>
      <c r="K34" s="116"/>
      <c r="L34" s="80"/>
      <c r="M34" s="112"/>
      <c r="N34" s="118"/>
      <c r="O34" s="112"/>
      <c r="P34" s="119"/>
      <c r="Q34" s="118"/>
      <c r="R34" s="112"/>
      <c r="S34" s="112"/>
    </row>
    <row r="35" spans="1:19" ht="12.75" thickBot="1" x14ac:dyDescent="0.25">
      <c r="A35" s="8">
        <f t="shared" si="0"/>
        <v>27</v>
      </c>
      <c r="B35" s="127" t="s">
        <v>47</v>
      </c>
      <c r="C35" s="121"/>
      <c r="D35" s="122">
        <f>D31+D33</f>
        <v>22868254.736416835</v>
      </c>
      <c r="E35" s="122">
        <f>E31+E33</f>
        <v>1997002.7499999998</v>
      </c>
      <c r="F35" s="122">
        <f>F31+F33</f>
        <v>143000.00000000003</v>
      </c>
      <c r="G35" s="123">
        <f>F35/E35</f>
        <v>7.1607312508708387E-2</v>
      </c>
      <c r="H35" s="124"/>
      <c r="I35" s="124"/>
      <c r="J35" s="132">
        <f>J31+J33</f>
        <v>-3117</v>
      </c>
      <c r="K35" s="132">
        <f>K31+K33</f>
        <v>139883.00000000003</v>
      </c>
      <c r="L35" s="80"/>
      <c r="M35" s="125">
        <v>1</v>
      </c>
      <c r="N35" s="126">
        <f>N31+N33</f>
        <v>-642.81411056831598</v>
      </c>
      <c r="O35" s="127"/>
      <c r="P35" s="128">
        <f ca="1">P31</f>
        <v>143642.81411056835</v>
      </c>
      <c r="Q35" s="126">
        <f ca="1">Q31+Q33</f>
        <v>143000.00000000003</v>
      </c>
      <c r="R35" s="123">
        <f ca="1">Q35/E35</f>
        <v>7.1607312508708387E-2</v>
      </c>
      <c r="S35" s="125"/>
    </row>
    <row r="36" spans="1:19" ht="12.75" thickTop="1" x14ac:dyDescent="0.2">
      <c r="P36" s="71"/>
      <c r="Q36" s="71"/>
    </row>
    <row r="37" spans="1:19" x14ac:dyDescent="0.2">
      <c r="P37" s="71"/>
      <c r="Q37" s="71"/>
    </row>
    <row r="38" spans="1:19" x14ac:dyDescent="0.2">
      <c r="P38" s="71"/>
      <c r="Q38" s="71"/>
    </row>
    <row r="39" spans="1:19" x14ac:dyDescent="0.2">
      <c r="L39" s="1" t="s">
        <v>61</v>
      </c>
      <c r="N39" s="15">
        <f>F35-N35</f>
        <v>143642.81411056835</v>
      </c>
      <c r="P39" s="71">
        <f ca="1">N39-P19</f>
        <v>143613.66631621766</v>
      </c>
      <c r="Q39" s="71"/>
    </row>
    <row r="40" spans="1:19" x14ac:dyDescent="0.2">
      <c r="P40" s="71"/>
      <c r="Q40" s="71"/>
    </row>
    <row r="41" spans="1:19" x14ac:dyDescent="0.2">
      <c r="L41" s="1" t="s">
        <v>62</v>
      </c>
      <c r="N41" s="15">
        <f>E35-E33-E27-E25</f>
        <v>1981067.1269999999</v>
      </c>
      <c r="P41" s="15">
        <f>+N41-E19</f>
        <v>1980799.112</v>
      </c>
    </row>
    <row r="42" spans="1:19" x14ac:dyDescent="0.2">
      <c r="F42" s="13"/>
      <c r="G42" s="13"/>
      <c r="H42" s="13"/>
      <c r="I42" s="13"/>
      <c r="J42" s="13"/>
      <c r="K42" s="13"/>
      <c r="L42" s="1" t="s">
        <v>63</v>
      </c>
      <c r="N42" s="58">
        <f>N39/N41</f>
        <v>7.2507797516226394E-2</v>
      </c>
      <c r="P42" s="1">
        <f ca="1">P39/P41</f>
        <v>7.2502893123377807E-2</v>
      </c>
    </row>
    <row r="43" spans="1:19" x14ac:dyDescent="0.2">
      <c r="F43" s="13"/>
      <c r="G43" s="13"/>
      <c r="H43" s="13"/>
      <c r="I43" s="13"/>
      <c r="J43" s="13"/>
      <c r="K43" s="13"/>
    </row>
    <row r="44" spans="1:19" x14ac:dyDescent="0.2">
      <c r="F44" s="13"/>
      <c r="G44" s="13"/>
      <c r="H44" s="13"/>
      <c r="I44" s="13"/>
      <c r="J44" s="13"/>
      <c r="K44" s="13"/>
    </row>
  </sheetData>
  <mergeCells count="2">
    <mergeCell ref="B4:S4"/>
    <mergeCell ref="B5:S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21C51CF-B551-4B4E-B359-D292F8C64D44}"/>
</file>

<file path=customXml/itemProps2.xml><?xml version="1.0" encoding="utf-8"?>
<ds:datastoreItem xmlns:ds="http://schemas.openxmlformats.org/officeDocument/2006/customXml" ds:itemID="{C939FDA8-E0F1-4A2F-B4E2-0AB9EABCC55A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0bb6117c-7237-4594-87be-1a98bf45b026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53932B-43EC-498C-9F08-846790903B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C61BF0-9708-4307-949D-3CA2CA9DED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Watkins</dc:creator>
  <cp:lastModifiedBy>Jenny Dolen</cp:lastModifiedBy>
  <dcterms:created xsi:type="dcterms:W3CDTF">2019-11-15T13:26:07Z</dcterms:created>
  <dcterms:modified xsi:type="dcterms:W3CDTF">2019-11-17T17:15:48Z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