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9443d10fe2268/Desktop/Puget Sound/"/>
    </mc:Choice>
  </mc:AlternateContent>
  <xr:revisionPtr revIDLastSave="174" documentId="8_{DF9B1676-0295-4083-87E9-541B668BCD1D}" xr6:coauthVersionLast="45" xr6:coauthVersionMax="45" xr10:uidLastSave="{EFCE75C4-8D3D-4D2F-9850-8EF1A16F46A9}"/>
  <bookViews>
    <workbookView xWindow="-28920" yWindow="-4680" windowWidth="29040" windowHeight="1584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Expenses!$D$1:$D$170</definedName>
    <definedName name="_xlnm._FilterDatabase" localSheetId="2" hidden="1">'Rate Base'!$D$1:$D$173</definedName>
    <definedName name="Alloc">'Alloc Pct'!$B$7:$Q$111</definedName>
    <definedName name="_xlnm.Print_Area" localSheetId="6">'Alloc Amt'!$B$4:$D$97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L54" i="1"/>
  <c r="M53" i="1"/>
  <c r="L53" i="1"/>
  <c r="M49" i="1"/>
  <c r="L49" i="1"/>
  <c r="M48" i="1"/>
  <c r="L48" i="1"/>
  <c r="M47" i="1"/>
  <c r="L47" i="1"/>
  <c r="M46" i="1"/>
  <c r="L46" i="1"/>
  <c r="M32" i="1"/>
  <c r="L32" i="1"/>
  <c r="M31" i="1"/>
  <c r="L31" i="1"/>
  <c r="M28" i="1"/>
  <c r="L28" i="1"/>
  <c r="M27" i="1"/>
  <c r="L27" i="1"/>
  <c r="M20" i="1"/>
  <c r="L20" i="1"/>
  <c r="M18" i="1"/>
  <c r="M21" i="1" s="1"/>
  <c r="M22" i="1" s="1"/>
  <c r="L18" i="1"/>
  <c r="L21" i="1" s="1"/>
  <c r="L22" i="1" s="1"/>
  <c r="M15" i="1"/>
  <c r="L15" i="1"/>
  <c r="M14" i="1"/>
  <c r="L14" i="1"/>
  <c r="M13" i="1"/>
  <c r="L13" i="1"/>
  <c r="M10" i="1"/>
  <c r="L10" i="1"/>
  <c r="M9" i="1"/>
  <c r="L9" i="1"/>
  <c r="M8" i="1"/>
  <c r="L8" i="1"/>
  <c r="O1" i="1"/>
  <c r="P1" i="1" s="1"/>
  <c r="Q1" i="1" s="1"/>
  <c r="R1" i="1" s="1"/>
  <c r="N1" i="1"/>
  <c r="M1" i="1"/>
  <c r="L1" i="1"/>
  <c r="M1" i="5"/>
  <c r="M31" i="5" s="1"/>
  <c r="L1" i="5"/>
  <c r="L31" i="5" s="1"/>
  <c r="M28" i="4"/>
  <c r="L28" i="4"/>
  <c r="L1" i="4"/>
  <c r="M1" i="4" s="1"/>
  <c r="N1" i="4" s="1"/>
  <c r="O1" i="4" s="1"/>
  <c r="P1" i="4" s="1"/>
  <c r="Q1" i="4" s="1"/>
  <c r="R1" i="4" s="1"/>
  <c r="M158" i="3"/>
  <c r="L158" i="3"/>
  <c r="M130" i="3"/>
  <c r="M129" i="3"/>
  <c r="M126" i="3"/>
  <c r="M125" i="3"/>
  <c r="M124" i="3"/>
  <c r="M123" i="3"/>
  <c r="M122" i="3"/>
  <c r="L130" i="3"/>
  <c r="L129" i="3"/>
  <c r="L126" i="3"/>
  <c r="L125" i="3"/>
  <c r="L124" i="3"/>
  <c r="L123" i="3"/>
  <c r="L122" i="3"/>
  <c r="M117" i="3"/>
  <c r="L117" i="3"/>
  <c r="M113" i="3"/>
  <c r="L113" i="3"/>
  <c r="M111" i="3"/>
  <c r="L111" i="3"/>
  <c r="M110" i="3"/>
  <c r="L110" i="3"/>
  <c r="M109" i="3"/>
  <c r="L109" i="3"/>
  <c r="M108" i="3"/>
  <c r="L108" i="3"/>
  <c r="M95" i="3"/>
  <c r="L95" i="3"/>
  <c r="M94" i="3"/>
  <c r="L94" i="3"/>
  <c r="M68" i="3"/>
  <c r="L68" i="3"/>
  <c r="M67" i="3"/>
  <c r="L67" i="3"/>
  <c r="M66" i="3"/>
  <c r="L66" i="3"/>
  <c r="M65" i="3"/>
  <c r="L65" i="3"/>
  <c r="M63" i="3"/>
  <c r="L63" i="3"/>
  <c r="M59" i="3"/>
  <c r="L59" i="3"/>
  <c r="M58" i="3"/>
  <c r="L58" i="3"/>
  <c r="M57" i="3"/>
  <c r="L57" i="3"/>
  <c r="M56" i="3"/>
  <c r="L56" i="3"/>
  <c r="M48" i="3"/>
  <c r="L48" i="3"/>
  <c r="M47" i="3"/>
  <c r="L47" i="3"/>
  <c r="M46" i="3"/>
  <c r="L46" i="3"/>
  <c r="M38" i="3"/>
  <c r="L38" i="3"/>
  <c r="M36" i="3"/>
  <c r="L36" i="3"/>
  <c r="M34" i="3"/>
  <c r="L34" i="3"/>
  <c r="M32" i="3"/>
  <c r="L32" i="3"/>
  <c r="M28" i="3"/>
  <c r="L28" i="3"/>
  <c r="M25" i="3"/>
  <c r="L25" i="3"/>
  <c r="M1" i="3"/>
  <c r="M15" i="3" s="1"/>
  <c r="L1" i="3"/>
  <c r="L20" i="3"/>
  <c r="M16" i="3"/>
  <c r="L16" i="3"/>
  <c r="L15" i="3"/>
  <c r="Y91" i="6"/>
  <c r="M53" i="5"/>
  <c r="M52" i="5"/>
  <c r="M45" i="5"/>
  <c r="M37" i="5"/>
  <c r="M32" i="5"/>
  <c r="M28" i="5"/>
  <c r="M27" i="5"/>
  <c r="M26" i="5"/>
  <c r="M25" i="5"/>
  <c r="M24" i="5"/>
  <c r="L53" i="5"/>
  <c r="L45" i="5"/>
  <c r="L37" i="5"/>
  <c r="L32" i="5"/>
  <c r="L29" i="5"/>
  <c r="L28" i="5"/>
  <c r="L26" i="5"/>
  <c r="L25" i="5"/>
  <c r="L24" i="5"/>
  <c r="L14" i="5"/>
  <c r="M13" i="5"/>
  <c r="M12" i="5"/>
  <c r="L12" i="5"/>
  <c r="M11" i="5"/>
  <c r="N1" i="5" l="1"/>
  <c r="O1" i="5" s="1"/>
  <c r="P1" i="5" s="1"/>
  <c r="Q1" i="5" s="1"/>
  <c r="R1" i="5" s="1"/>
  <c r="M29" i="5"/>
  <c r="M30" i="5"/>
  <c r="M14" i="5"/>
  <c r="M23" i="5"/>
  <c r="L13" i="5"/>
  <c r="L27" i="5"/>
  <c r="L52" i="5"/>
  <c r="L30" i="5"/>
  <c r="L11" i="5"/>
  <c r="L23" i="5"/>
  <c r="M20" i="3"/>
  <c r="N1" i="3"/>
  <c r="O1" i="3" s="1"/>
  <c r="P1" i="3" s="1"/>
  <c r="Q1" i="3" s="1"/>
  <c r="R1" i="3" s="1"/>
  <c r="L70" i="6" l="1"/>
  <c r="K70" i="6"/>
  <c r="M140" i="2"/>
  <c r="L140" i="2"/>
  <c r="M138" i="2"/>
  <c r="L138" i="2"/>
  <c r="K140" i="2"/>
  <c r="K138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M90" i="2"/>
  <c r="L90" i="2"/>
  <c r="M54" i="2"/>
  <c r="L54" i="2"/>
  <c r="M53" i="2"/>
  <c r="L67" i="6" s="1"/>
  <c r="L53" i="2"/>
  <c r="K67" i="6" s="1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L1" i="2"/>
  <c r="M1" i="2" s="1"/>
  <c r="N1" i="2" s="1"/>
  <c r="O1" i="2" s="1"/>
  <c r="P1" i="2" s="1"/>
  <c r="Q1" i="2" s="1"/>
  <c r="R1" i="2" s="1"/>
  <c r="K66" i="6" l="1"/>
  <c r="L60" i="6"/>
  <c r="L62" i="6"/>
  <c r="L65" i="6"/>
  <c r="L66" i="6"/>
  <c r="K64" i="6"/>
  <c r="L63" i="6"/>
  <c r="L61" i="6"/>
  <c r="L64" i="6"/>
  <c r="K61" i="6"/>
  <c r="L77" i="6"/>
  <c r="K77" i="6"/>
  <c r="K60" i="6"/>
  <c r="K62" i="6"/>
  <c r="K63" i="6"/>
  <c r="K65" i="6"/>
  <c r="L93" i="7" l="1"/>
  <c r="K93" i="7"/>
  <c r="L92" i="7"/>
  <c r="K92" i="7"/>
  <c r="L91" i="7"/>
  <c r="K91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M15" i="5"/>
  <c r="L15" i="5"/>
  <c r="M29" i="4"/>
  <c r="L29" i="4"/>
  <c r="M39" i="3"/>
  <c r="L39" i="3"/>
  <c r="M29" i="3"/>
  <c r="L29" i="3"/>
  <c r="M26" i="3"/>
  <c r="L26" i="3"/>
  <c r="M22" i="3"/>
  <c r="L22" i="3"/>
  <c r="M17" i="3"/>
  <c r="L17" i="3"/>
  <c r="M55" i="1"/>
  <c r="M59" i="1" s="1"/>
  <c r="L55" i="1"/>
  <c r="L59" i="1" s="1"/>
  <c r="M29" i="1"/>
  <c r="M34" i="1" s="1"/>
  <c r="L29" i="1"/>
  <c r="L34" i="1" s="1"/>
  <c r="L42" i="1" s="1"/>
  <c r="M24" i="1"/>
  <c r="L24" i="1"/>
  <c r="M16" i="1"/>
  <c r="L16" i="1"/>
  <c r="M11" i="1"/>
  <c r="L11" i="1"/>
  <c r="L56" i="1" l="1"/>
  <c r="M56" i="1"/>
  <c r="M36" i="1"/>
  <c r="L43" i="1"/>
  <c r="L51" i="1" s="1"/>
  <c r="K78" i="6"/>
  <c r="L78" i="6"/>
  <c r="K90" i="6"/>
  <c r="L90" i="6"/>
  <c r="M42" i="1"/>
  <c r="M43" i="1" s="1"/>
  <c r="M51" i="1" s="1"/>
  <c r="L36" i="1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9" i="5"/>
  <c r="C18" i="5"/>
  <c r="C14" i="5"/>
  <c r="C13" i="5"/>
  <c r="C12" i="5"/>
  <c r="C11" i="5"/>
  <c r="C35" i="4"/>
  <c r="C28" i="4"/>
  <c r="C24" i="4"/>
  <c r="C20" i="4"/>
  <c r="C16" i="4"/>
  <c r="C12" i="4"/>
  <c r="C163" i="3"/>
  <c r="C162" i="3"/>
  <c r="C158" i="3"/>
  <c r="C156" i="3"/>
  <c r="C155" i="3"/>
  <c r="C154" i="3"/>
  <c r="C150" i="3"/>
  <c r="C149" i="3"/>
  <c r="C148" i="3"/>
  <c r="C147" i="3"/>
  <c r="C146" i="3"/>
  <c r="C145" i="3"/>
  <c r="C144" i="3"/>
  <c r="C143" i="3"/>
  <c r="C141" i="3"/>
  <c r="C142" i="3"/>
  <c r="C140" i="3"/>
  <c r="C139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5" i="3"/>
  <c r="C113" i="3"/>
  <c r="C111" i="3"/>
  <c r="C110" i="3"/>
  <c r="C109" i="3"/>
  <c r="C108" i="3"/>
  <c r="C100" i="3"/>
  <c r="C96" i="3"/>
  <c r="C95" i="3"/>
  <c r="C94" i="3"/>
  <c r="C93" i="3"/>
  <c r="C92" i="3"/>
  <c r="C91" i="3"/>
  <c r="C90" i="3"/>
  <c r="C89" i="3"/>
  <c r="C83" i="3"/>
  <c r="C82" i="3"/>
  <c r="C81" i="3"/>
  <c r="C80" i="3"/>
  <c r="C79" i="3"/>
  <c r="C78" i="3"/>
  <c r="C77" i="3"/>
  <c r="C76" i="3"/>
  <c r="C75" i="3"/>
  <c r="C74" i="3"/>
  <c r="C68" i="3"/>
  <c r="C67" i="3"/>
  <c r="C66" i="3"/>
  <c r="C65" i="3"/>
  <c r="C64" i="3"/>
  <c r="C63" i="3"/>
  <c r="C59" i="3"/>
  <c r="C58" i="3"/>
  <c r="C57" i="3"/>
  <c r="C56" i="3"/>
  <c r="C55" i="3"/>
  <c r="C51" i="3"/>
  <c r="C50" i="3"/>
  <c r="C49" i="3"/>
  <c r="C48" i="3"/>
  <c r="C47" i="3"/>
  <c r="C46" i="3"/>
  <c r="C45" i="3"/>
  <c r="C44" i="3"/>
  <c r="C43" i="3"/>
  <c r="C42" i="3"/>
  <c r="C38" i="3"/>
  <c r="C36" i="3"/>
  <c r="C34" i="3"/>
  <c r="C32" i="3"/>
  <c r="C28" i="3"/>
  <c r="C25" i="3"/>
  <c r="C20" i="3"/>
  <c r="C16" i="3"/>
  <c r="C15" i="3"/>
  <c r="C31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27" i="2"/>
  <c r="C120" i="2"/>
  <c r="C119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1" i="2"/>
  <c r="C90" i="2"/>
  <c r="C89" i="2"/>
  <c r="C88" i="2"/>
  <c r="C84" i="2"/>
  <c r="C83" i="2"/>
  <c r="C82" i="2"/>
  <c r="C78" i="2"/>
  <c r="C77" i="2"/>
  <c r="C76" i="2"/>
  <c r="C69" i="2"/>
  <c r="C68" i="2"/>
  <c r="C67" i="2"/>
  <c r="C66" i="2"/>
  <c r="C65" i="2"/>
  <c r="C64" i="2"/>
  <c r="C63" i="2"/>
  <c r="C62" i="2"/>
  <c r="C61" i="2"/>
  <c r="C60" i="2"/>
  <c r="C59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29" i="2"/>
  <c r="C27" i="2"/>
  <c r="C25" i="2"/>
  <c r="C19" i="2"/>
  <c r="C15" i="2"/>
  <c r="C14" i="2"/>
  <c r="C13" i="2"/>
  <c r="D100" i="6"/>
  <c r="D99" i="6"/>
  <c r="E100" i="6"/>
  <c r="Y100" i="6" s="1"/>
  <c r="E99" i="6"/>
  <c r="Y99" i="6" s="1"/>
  <c r="E98" i="6"/>
  <c r="Y98" i="6" s="1"/>
  <c r="Q98" i="7" l="1"/>
  <c r="L98" i="7"/>
  <c r="M25" i="2" s="1"/>
  <c r="K98" i="7"/>
  <c r="L25" i="2" s="1"/>
  <c r="O99" i="7"/>
  <c r="L99" i="7"/>
  <c r="M88" i="2" s="1"/>
  <c r="K99" i="7"/>
  <c r="L88" i="2" s="1"/>
  <c r="Q100" i="7"/>
  <c r="L100" i="7"/>
  <c r="K100" i="7"/>
  <c r="I100" i="7"/>
  <c r="M99" i="7"/>
  <c r="H100" i="7"/>
  <c r="O100" i="7"/>
  <c r="G99" i="7"/>
  <c r="Q99" i="7"/>
  <c r="J100" i="7"/>
  <c r="F99" i="7"/>
  <c r="P99" i="7"/>
  <c r="P100" i="7"/>
  <c r="J99" i="7"/>
  <c r="F100" i="7"/>
  <c r="N100" i="7"/>
  <c r="N98" i="7"/>
  <c r="H98" i="7"/>
  <c r="I98" i="7"/>
  <c r="O98" i="7"/>
  <c r="F98" i="7"/>
  <c r="J98" i="7"/>
  <c r="P98" i="7"/>
  <c r="H99" i="7"/>
  <c r="N99" i="7"/>
  <c r="G98" i="7"/>
  <c r="M98" i="7"/>
  <c r="I99" i="7"/>
  <c r="G100" i="7"/>
  <c r="M100" i="7"/>
  <c r="E100" i="7" l="1"/>
  <c r="E98" i="7"/>
  <c r="E99" i="7"/>
  <c r="E97" i="6" l="1"/>
  <c r="E96" i="6"/>
  <c r="Y96" i="6" s="1"/>
  <c r="E95" i="6"/>
  <c r="Y95" i="6" s="1"/>
  <c r="E94" i="6"/>
  <c r="Y94" i="6" s="1"/>
  <c r="D90" i="6"/>
  <c r="D91" i="6" s="1"/>
  <c r="D92" i="6" s="1"/>
  <c r="D93" i="6" s="1"/>
  <c r="D94" i="6" s="1"/>
  <c r="D95" i="6" s="1"/>
  <c r="D96" i="6" s="1"/>
  <c r="D97" i="6" s="1"/>
  <c r="D98" i="6" s="1"/>
  <c r="H97" i="7" l="1"/>
  <c r="Y97" i="6"/>
  <c r="O96" i="7"/>
  <c r="L96" i="7"/>
  <c r="K96" i="7"/>
  <c r="P94" i="7"/>
  <c r="L94" i="7"/>
  <c r="M19" i="2" s="1"/>
  <c r="M21" i="2" s="1"/>
  <c r="L79" i="6" s="1"/>
  <c r="K94" i="7"/>
  <c r="L19" i="2" s="1"/>
  <c r="L21" i="2" s="1"/>
  <c r="K79" i="6" s="1"/>
  <c r="Q95" i="7"/>
  <c r="L95" i="7"/>
  <c r="K95" i="7"/>
  <c r="Q97" i="7"/>
  <c r="L97" i="7"/>
  <c r="K97" i="7"/>
  <c r="N97" i="7"/>
  <c r="I97" i="7"/>
  <c r="O97" i="7"/>
  <c r="F97" i="7"/>
  <c r="J97" i="7"/>
  <c r="P97" i="7"/>
  <c r="G97" i="7"/>
  <c r="M97" i="7"/>
  <c r="H95" i="7"/>
  <c r="N95" i="7"/>
  <c r="F96" i="7"/>
  <c r="J96" i="7"/>
  <c r="P96" i="7"/>
  <c r="I95" i="7"/>
  <c r="O95" i="7"/>
  <c r="G96" i="7"/>
  <c r="M96" i="7"/>
  <c r="Q96" i="7"/>
  <c r="F95" i="7"/>
  <c r="J95" i="7"/>
  <c r="P95" i="7"/>
  <c r="H96" i="7"/>
  <c r="N96" i="7"/>
  <c r="G95" i="7"/>
  <c r="M95" i="7"/>
  <c r="I96" i="7"/>
  <c r="G94" i="7"/>
  <c r="M94" i="7"/>
  <c r="Q94" i="7"/>
  <c r="H94" i="7"/>
  <c r="N94" i="7"/>
  <c r="I94" i="7"/>
  <c r="O94" i="7"/>
  <c r="F94" i="7"/>
  <c r="J94" i="7"/>
  <c r="T58" i="1"/>
  <c r="T57" i="1"/>
  <c r="T52" i="1"/>
  <c r="T50" i="1"/>
  <c r="T45" i="1"/>
  <c r="T44" i="1"/>
  <c r="T41" i="1"/>
  <c r="T40" i="1"/>
  <c r="T39" i="1"/>
  <c r="T38" i="1"/>
  <c r="T35" i="1"/>
  <c r="T33" i="1"/>
  <c r="T30" i="1"/>
  <c r="T26" i="1"/>
  <c r="T25" i="1"/>
  <c r="T23" i="1"/>
  <c r="T19" i="1"/>
  <c r="T17" i="1"/>
  <c r="T12" i="1"/>
  <c r="M89" i="2" l="1"/>
  <c r="M82" i="2"/>
  <c r="M91" i="2"/>
  <c r="M84" i="2"/>
  <c r="M83" i="2"/>
  <c r="L91" i="2"/>
  <c r="L84" i="2"/>
  <c r="L83" i="2"/>
  <c r="L82" i="2"/>
  <c r="L89" i="2"/>
  <c r="E97" i="7"/>
  <c r="E95" i="7"/>
  <c r="E96" i="7"/>
  <c r="E94" i="7"/>
  <c r="L92" i="2" l="1"/>
  <c r="M85" i="2"/>
  <c r="L85" i="2"/>
  <c r="M92" i="2"/>
  <c r="F159" i="3"/>
  <c r="T36" i="4" l="1"/>
  <c r="T41" i="3"/>
  <c r="T40" i="3"/>
  <c r="T37" i="3"/>
  <c r="T31" i="3"/>
  <c r="T30" i="3"/>
  <c r="T27" i="3"/>
  <c r="T24" i="3"/>
  <c r="T23" i="3"/>
  <c r="T21" i="3"/>
  <c r="T19" i="3"/>
  <c r="T18" i="3"/>
  <c r="T168" i="3"/>
  <c r="T167" i="3"/>
  <c r="T165" i="3"/>
  <c r="T161" i="3"/>
  <c r="T160" i="3"/>
  <c r="T157" i="3"/>
  <c r="T153" i="3"/>
  <c r="T152" i="3"/>
  <c r="T138" i="3"/>
  <c r="T107" i="3"/>
  <c r="T106" i="3"/>
  <c r="T104" i="3"/>
  <c r="T102" i="3"/>
  <c r="T99" i="3"/>
  <c r="T98" i="3"/>
  <c r="T88" i="3"/>
  <c r="T87" i="3"/>
  <c r="T85" i="3"/>
  <c r="T24" i="2"/>
  <c r="T166" i="2"/>
  <c r="T165" i="2"/>
  <c r="T164" i="2"/>
  <c r="T163" i="2"/>
  <c r="T162" i="2"/>
  <c r="T161" i="2"/>
  <c r="T160" i="2"/>
  <c r="T158" i="2"/>
  <c r="T157" i="2"/>
  <c r="T155" i="2"/>
  <c r="T153" i="2"/>
  <c r="T130" i="2"/>
  <c r="T129" i="2"/>
  <c r="T126" i="2"/>
  <c r="T125" i="2"/>
  <c r="T124" i="2"/>
  <c r="T122" i="2"/>
  <c r="T118" i="2"/>
  <c r="T117" i="2"/>
  <c r="T71" i="2"/>
  <c r="T43" i="2"/>
  <c r="F56" i="5" l="1"/>
  <c r="F54" i="5"/>
  <c r="F20" i="5"/>
  <c r="F15" i="5"/>
  <c r="T58" i="5"/>
  <c r="T57" i="5"/>
  <c r="T55" i="5"/>
  <c r="T22" i="5"/>
  <c r="T21" i="5"/>
  <c r="T19" i="5"/>
  <c r="T17" i="5"/>
  <c r="T16" i="5"/>
  <c r="F164" i="3"/>
  <c r="F22" i="1" s="1"/>
  <c r="F101" i="3" l="1"/>
  <c r="F84" i="3"/>
  <c r="F71" i="3"/>
  <c r="F52" i="3"/>
  <c r="F97" i="3"/>
  <c r="F60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22" i="3"/>
  <c r="F1" i="3"/>
  <c r="G1" i="3" s="1"/>
  <c r="F1" i="2"/>
  <c r="G1" i="2" s="1"/>
  <c r="H1" i="2" s="1"/>
  <c r="I1" i="2" s="1"/>
  <c r="J1" i="2" s="1"/>
  <c r="K1" i="2" s="1"/>
  <c r="F128" i="2"/>
  <c r="F121" i="2"/>
  <c r="F116" i="2"/>
  <c r="F85" i="2"/>
  <c r="F79" i="2"/>
  <c r="F70" i="2"/>
  <c r="F56" i="2"/>
  <c r="F16" i="2"/>
  <c r="Q58" i="7"/>
  <c r="P58" i="7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R37" i="5" s="1"/>
  <c r="P55" i="7"/>
  <c r="Q37" i="5" s="1"/>
  <c r="O55" i="7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G53" i="7"/>
  <c r="F53" i="7"/>
  <c r="Q52" i="7"/>
  <c r="P52" i="7"/>
  <c r="O52" i="7"/>
  <c r="N52" i="7"/>
  <c r="M52" i="7"/>
  <c r="J52" i="7"/>
  <c r="I52" i="7"/>
  <c r="H52" i="7"/>
  <c r="G52" i="7"/>
  <c r="F52" i="7"/>
  <c r="Q51" i="7"/>
  <c r="P51" i="7"/>
  <c r="O51" i="7"/>
  <c r="N51" i="7"/>
  <c r="M51" i="7"/>
  <c r="J51" i="7"/>
  <c r="I51" i="7"/>
  <c r="H51" i="7"/>
  <c r="G51" i="7"/>
  <c r="F51" i="7"/>
  <c r="Q50" i="7"/>
  <c r="P50" i="7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G49" i="7"/>
  <c r="F49" i="7"/>
  <c r="Q48" i="7"/>
  <c r="P48" i="7"/>
  <c r="O48" i="7"/>
  <c r="N48" i="7"/>
  <c r="M48" i="7"/>
  <c r="J48" i="7"/>
  <c r="I48" i="7"/>
  <c r="H48" i="7"/>
  <c r="G48" i="7"/>
  <c r="F48" i="7"/>
  <c r="Q47" i="7"/>
  <c r="P47" i="7"/>
  <c r="O47" i="7"/>
  <c r="N47" i="7"/>
  <c r="M47" i="7"/>
  <c r="J47" i="7"/>
  <c r="I47" i="7"/>
  <c r="H47" i="7"/>
  <c r="G47" i="7"/>
  <c r="F47" i="7"/>
  <c r="Q46" i="7"/>
  <c r="P46" i="7"/>
  <c r="O46" i="7"/>
  <c r="N46" i="7"/>
  <c r="M46" i="7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P44" i="7"/>
  <c r="O44" i="7"/>
  <c r="N44" i="7"/>
  <c r="M44" i="7"/>
  <c r="J44" i="7"/>
  <c r="I44" i="7"/>
  <c r="H44" i="7"/>
  <c r="G44" i="7"/>
  <c r="F44" i="7"/>
  <c r="Q43" i="7"/>
  <c r="P43" i="7"/>
  <c r="O43" i="7"/>
  <c r="N43" i="7"/>
  <c r="M43" i="7"/>
  <c r="J43" i="7"/>
  <c r="I43" i="7"/>
  <c r="H43" i="7"/>
  <c r="G43" i="7"/>
  <c r="F43" i="7"/>
  <c r="Q42" i="7"/>
  <c r="P42" i="7"/>
  <c r="O42" i="7"/>
  <c r="N42" i="7"/>
  <c r="M42" i="7"/>
  <c r="J42" i="7"/>
  <c r="I42" i="7"/>
  <c r="H42" i="7"/>
  <c r="G42" i="7"/>
  <c r="F42" i="7"/>
  <c r="Q41" i="7"/>
  <c r="P41" i="7"/>
  <c r="O41" i="7"/>
  <c r="N41" i="7"/>
  <c r="M41" i="7"/>
  <c r="J41" i="7"/>
  <c r="I41" i="7"/>
  <c r="H41" i="7"/>
  <c r="G41" i="7"/>
  <c r="F41" i="7"/>
  <c r="Q40" i="7"/>
  <c r="P40" i="7"/>
  <c r="O40" i="7"/>
  <c r="N40" i="7"/>
  <c r="M40" i="7"/>
  <c r="J40" i="7"/>
  <c r="I40" i="7"/>
  <c r="H40" i="7"/>
  <c r="G40" i="7"/>
  <c r="H103" i="2" s="1"/>
  <c r="F40" i="7"/>
  <c r="Q39" i="7"/>
  <c r="P39" i="7"/>
  <c r="O39" i="7"/>
  <c r="N39" i="7"/>
  <c r="M39" i="7"/>
  <c r="J39" i="7"/>
  <c r="I39" i="7"/>
  <c r="J99" i="2" s="1"/>
  <c r="H39" i="7"/>
  <c r="G39" i="7"/>
  <c r="F39" i="7"/>
  <c r="Q38" i="7"/>
  <c r="P38" i="7"/>
  <c r="O38" i="7"/>
  <c r="N38" i="7"/>
  <c r="M38" i="7"/>
  <c r="N97" i="2" s="1"/>
  <c r="J38" i="7"/>
  <c r="I38" i="7"/>
  <c r="H38" i="7"/>
  <c r="G38" i="7"/>
  <c r="F38" i="7"/>
  <c r="Q37" i="7"/>
  <c r="P37" i="7"/>
  <c r="O37" i="7"/>
  <c r="P95" i="2" s="1"/>
  <c r="N37" i="7"/>
  <c r="M37" i="7"/>
  <c r="J37" i="7"/>
  <c r="I37" i="7"/>
  <c r="H37" i="7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O30" i="7"/>
  <c r="N30" i="7"/>
  <c r="M30" i="7"/>
  <c r="N112" i="2" s="1"/>
  <c r="J30" i="7"/>
  <c r="I30" i="7"/>
  <c r="H30" i="7"/>
  <c r="G30" i="7"/>
  <c r="F30" i="7"/>
  <c r="Q29" i="7"/>
  <c r="P29" i="7"/>
  <c r="O29" i="7"/>
  <c r="N29" i="7"/>
  <c r="M29" i="7"/>
  <c r="J29" i="7"/>
  <c r="I29" i="7"/>
  <c r="H29" i="7"/>
  <c r="G29" i="7"/>
  <c r="F29" i="7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O26" i="7"/>
  <c r="N26" i="7"/>
  <c r="M26" i="7"/>
  <c r="N51" i="2" s="1"/>
  <c r="J26" i="7"/>
  <c r="I26" i="7"/>
  <c r="H26" i="7"/>
  <c r="G26" i="7"/>
  <c r="F26" i="7"/>
  <c r="Q25" i="7"/>
  <c r="P25" i="7"/>
  <c r="O25" i="7"/>
  <c r="P113" i="2" s="1"/>
  <c r="N25" i="7"/>
  <c r="M25" i="7"/>
  <c r="J25" i="7"/>
  <c r="I25" i="7"/>
  <c r="H25" i="7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P23" i="7"/>
  <c r="Q30" i="5" s="1"/>
  <c r="O23" i="7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P22" i="7"/>
  <c r="O22" i="7"/>
  <c r="P29" i="5" s="1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R26" i="5" s="1"/>
  <c r="P21" i="7"/>
  <c r="Q26" i="5" s="1"/>
  <c r="O21" i="7"/>
  <c r="P26" i="5" s="1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R24" i="5" s="1"/>
  <c r="P20" i="7"/>
  <c r="O20" i="7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P19" i="7"/>
  <c r="Q23" i="5" s="1"/>
  <c r="O19" i="7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P18" i="7"/>
  <c r="O18" i="7"/>
  <c r="P45" i="5" s="1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R31" i="5" s="1"/>
  <c r="P16" i="7"/>
  <c r="O16" i="7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P14" i="7"/>
  <c r="O14" i="7"/>
  <c r="P14" i="5" s="1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P7" i="7"/>
  <c r="O7" i="7"/>
  <c r="R28" i="4" s="1"/>
  <c r="R29" i="4" s="1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T26" i="5" l="1"/>
  <c r="Q14" i="5"/>
  <c r="Q45" i="5"/>
  <c r="Q29" i="5"/>
  <c r="R14" i="5"/>
  <c r="R45" i="5"/>
  <c r="P23" i="5"/>
  <c r="R29" i="5"/>
  <c r="T29" i="5" s="1"/>
  <c r="P30" i="5"/>
  <c r="P37" i="5"/>
  <c r="T37" i="5" s="1"/>
  <c r="P31" i="5"/>
  <c r="R23" i="5"/>
  <c r="P24" i="5"/>
  <c r="R30" i="5"/>
  <c r="Q31" i="5"/>
  <c r="Q24" i="5"/>
  <c r="J12" i="5"/>
  <c r="J52" i="5"/>
  <c r="K52" i="5"/>
  <c r="K12" i="5"/>
  <c r="N28" i="5"/>
  <c r="N25" i="5"/>
  <c r="N32" i="5"/>
  <c r="N27" i="5"/>
  <c r="P53" i="5"/>
  <c r="P13" i="5"/>
  <c r="N52" i="5"/>
  <c r="N12" i="5"/>
  <c r="K32" i="5"/>
  <c r="K28" i="5"/>
  <c r="K27" i="5"/>
  <c r="K25" i="5"/>
  <c r="O53" i="5"/>
  <c r="O13" i="5"/>
  <c r="O25" i="5"/>
  <c r="O28" i="5"/>
  <c r="O27" i="5"/>
  <c r="O32" i="5"/>
  <c r="G13" i="5"/>
  <c r="G53" i="5"/>
  <c r="Q53" i="5"/>
  <c r="Q13" i="5"/>
  <c r="O12" i="5"/>
  <c r="O52" i="5"/>
  <c r="R138" i="2"/>
  <c r="R53" i="5"/>
  <c r="R13" i="5"/>
  <c r="J27" i="5"/>
  <c r="J25" i="5"/>
  <c r="J32" i="5"/>
  <c r="J28" i="5"/>
  <c r="H13" i="5"/>
  <c r="H53" i="5"/>
  <c r="G28" i="5"/>
  <c r="G32" i="5"/>
  <c r="G25" i="5"/>
  <c r="G27" i="5"/>
  <c r="Q27" i="5"/>
  <c r="Q28" i="5"/>
  <c r="Q32" i="5"/>
  <c r="Q25" i="5"/>
  <c r="I13" i="5"/>
  <c r="I53" i="5"/>
  <c r="G12" i="5"/>
  <c r="G52" i="5"/>
  <c r="Q12" i="5"/>
  <c r="Q52" i="5"/>
  <c r="H27" i="5"/>
  <c r="H25" i="5"/>
  <c r="H32" i="5"/>
  <c r="H28" i="5"/>
  <c r="R32" i="5"/>
  <c r="R25" i="5"/>
  <c r="R28" i="5"/>
  <c r="R27" i="5"/>
  <c r="J53" i="5"/>
  <c r="J13" i="5"/>
  <c r="H90" i="2"/>
  <c r="H12" i="5"/>
  <c r="H52" i="5"/>
  <c r="R90" i="2"/>
  <c r="R12" i="5"/>
  <c r="R52" i="5"/>
  <c r="N114" i="2"/>
  <c r="N45" i="5"/>
  <c r="N13" i="5"/>
  <c r="N53" i="5"/>
  <c r="P25" i="5"/>
  <c r="P28" i="5"/>
  <c r="P27" i="5"/>
  <c r="P32" i="5"/>
  <c r="P12" i="5"/>
  <c r="P52" i="5"/>
  <c r="I32" i="5"/>
  <c r="I25" i="5"/>
  <c r="I27" i="5"/>
  <c r="I28" i="5"/>
  <c r="K13" i="5"/>
  <c r="K53" i="5"/>
  <c r="I12" i="5"/>
  <c r="I52" i="5"/>
  <c r="K90" i="2"/>
  <c r="I113" i="2"/>
  <c r="Q111" i="2"/>
  <c r="Q112" i="2"/>
  <c r="I95" i="2"/>
  <c r="O99" i="2"/>
  <c r="K103" i="2"/>
  <c r="I105" i="2"/>
  <c r="Q35" i="2"/>
  <c r="O37" i="2"/>
  <c r="Q45" i="2"/>
  <c r="O50" i="2"/>
  <c r="K96" i="2"/>
  <c r="I38" i="2"/>
  <c r="Q40" i="2"/>
  <c r="O104" i="2"/>
  <c r="K109" i="2"/>
  <c r="I47" i="2"/>
  <c r="Q97" i="2"/>
  <c r="R103" i="2"/>
  <c r="P105" i="2"/>
  <c r="N35" i="2"/>
  <c r="J37" i="2"/>
  <c r="H39" i="2"/>
  <c r="R39" i="2"/>
  <c r="N45" i="2"/>
  <c r="J108" i="2"/>
  <c r="H96" i="2"/>
  <c r="F151" i="3"/>
  <c r="Q49" i="2"/>
  <c r="G54" i="2"/>
  <c r="F29" i="3"/>
  <c r="F26" i="3"/>
  <c r="F103" i="3"/>
  <c r="F39" i="3"/>
  <c r="G122" i="3"/>
  <c r="G111" i="3"/>
  <c r="G130" i="3"/>
  <c r="G65" i="3"/>
  <c r="G158" i="3"/>
  <c r="G36" i="3"/>
  <c r="I90" i="2"/>
  <c r="O114" i="2"/>
  <c r="G53" i="2"/>
  <c r="Q113" i="2"/>
  <c r="O111" i="2"/>
  <c r="O112" i="2"/>
  <c r="G95" i="2"/>
  <c r="Q95" i="2"/>
  <c r="O97" i="2"/>
  <c r="K99" i="2"/>
  <c r="I103" i="2"/>
  <c r="G105" i="2"/>
  <c r="Q105" i="2"/>
  <c r="O35" i="2"/>
  <c r="K37" i="2"/>
  <c r="I39" i="2"/>
  <c r="O45" i="2"/>
  <c r="K108" i="2"/>
  <c r="G98" i="2"/>
  <c r="Q38" i="2"/>
  <c r="O41" i="2"/>
  <c r="K42" i="2"/>
  <c r="I48" i="2"/>
  <c r="G107" i="2"/>
  <c r="Q47" i="2"/>
  <c r="O49" i="2"/>
  <c r="Q25" i="2"/>
  <c r="I112" i="2"/>
  <c r="N90" i="2"/>
  <c r="H114" i="2"/>
  <c r="R114" i="2"/>
  <c r="J113" i="2"/>
  <c r="H111" i="2"/>
  <c r="R111" i="2"/>
  <c r="H112" i="2"/>
  <c r="R112" i="2"/>
  <c r="J105" i="2"/>
  <c r="H35" i="2"/>
  <c r="R35" i="2"/>
  <c r="P37" i="2"/>
  <c r="N39" i="2"/>
  <c r="H45" i="2"/>
  <c r="R45" i="2"/>
  <c r="P50" i="2"/>
  <c r="J38" i="2"/>
  <c r="H40" i="2"/>
  <c r="R40" i="2"/>
  <c r="P104" i="2"/>
  <c r="N48" i="2"/>
  <c r="J47" i="2"/>
  <c r="H49" i="2"/>
  <c r="R49" i="2"/>
  <c r="J25" i="2"/>
  <c r="O90" i="2"/>
  <c r="K113" i="2"/>
  <c r="I111" i="2"/>
  <c r="I52" i="2"/>
  <c r="K95" i="2"/>
  <c r="I97" i="2"/>
  <c r="Q99" i="2"/>
  <c r="O103" i="2"/>
  <c r="K105" i="2"/>
  <c r="I35" i="2"/>
  <c r="O39" i="2"/>
  <c r="Q108" i="2"/>
  <c r="O96" i="2"/>
  <c r="K38" i="2"/>
  <c r="I101" i="2"/>
  <c r="G42" i="2"/>
  <c r="Q104" i="2"/>
  <c r="O48" i="2"/>
  <c r="K47" i="2"/>
  <c r="I110" i="2"/>
  <c r="P90" i="2"/>
  <c r="J114" i="2"/>
  <c r="N113" i="2"/>
  <c r="J51" i="2"/>
  <c r="J52" i="2"/>
  <c r="N95" i="2"/>
  <c r="J97" i="2"/>
  <c r="H99" i="2"/>
  <c r="R99" i="2"/>
  <c r="P103" i="2"/>
  <c r="N105" i="2"/>
  <c r="J35" i="2"/>
  <c r="H37" i="2"/>
  <c r="R37" i="2"/>
  <c r="P39" i="2"/>
  <c r="J45" i="2"/>
  <c r="H108" i="2"/>
  <c r="R108" i="2"/>
  <c r="P96" i="2"/>
  <c r="N38" i="2"/>
  <c r="J101" i="2"/>
  <c r="H104" i="2"/>
  <c r="R104" i="2"/>
  <c r="P48" i="2"/>
  <c r="N47" i="2"/>
  <c r="J110" i="2"/>
  <c r="K35" i="2"/>
  <c r="G90" i="2"/>
  <c r="Q90" i="2"/>
  <c r="K114" i="2"/>
  <c r="O113" i="2"/>
  <c r="K51" i="2"/>
  <c r="K112" i="2"/>
  <c r="O95" i="2"/>
  <c r="K97" i="2"/>
  <c r="I99" i="2"/>
  <c r="G103" i="2"/>
  <c r="Q103" i="2"/>
  <c r="O105" i="2"/>
  <c r="I37" i="2"/>
  <c r="G39" i="2"/>
  <c r="Q39" i="2"/>
  <c r="K45" i="2"/>
  <c r="I108" i="2"/>
  <c r="G36" i="2"/>
  <c r="Q96" i="2"/>
  <c r="O98" i="2"/>
  <c r="K101" i="2"/>
  <c r="I102" i="2"/>
  <c r="G48" i="2"/>
  <c r="Q48" i="2"/>
  <c r="O107" i="2"/>
  <c r="K49" i="2"/>
  <c r="G37" i="2"/>
  <c r="R96" i="2"/>
  <c r="P98" i="2"/>
  <c r="N100" i="2"/>
  <c r="J102" i="2"/>
  <c r="H48" i="2"/>
  <c r="R48" i="2"/>
  <c r="P106" i="2"/>
  <c r="N49" i="2"/>
  <c r="Q41" i="2"/>
  <c r="H53" i="2"/>
  <c r="G67" i="6" s="1"/>
  <c r="R53" i="2"/>
  <c r="Q67" i="6" s="1"/>
  <c r="H95" i="2"/>
  <c r="R95" i="2"/>
  <c r="P97" i="2"/>
  <c r="N99" i="2"/>
  <c r="J103" i="2"/>
  <c r="H105" i="2"/>
  <c r="R105" i="2"/>
  <c r="P35" i="2"/>
  <c r="N37" i="2"/>
  <c r="J39" i="2"/>
  <c r="P45" i="2"/>
  <c r="H25" i="2"/>
  <c r="G101" i="2"/>
  <c r="Q98" i="2"/>
  <c r="K44" i="2"/>
  <c r="O100" i="2"/>
  <c r="N25" i="2"/>
  <c r="O47" i="2"/>
  <c r="K102" i="2"/>
  <c r="O25" i="2"/>
  <c r="N19" i="2"/>
  <c r="I49" i="2"/>
  <c r="O108" i="2"/>
  <c r="P25" i="2"/>
  <c r="F32" i="2"/>
  <c r="Q50" i="2"/>
  <c r="K110" i="2"/>
  <c r="O88" i="2"/>
  <c r="J140" i="2"/>
  <c r="K19" i="2"/>
  <c r="I25" i="2"/>
  <c r="I40" i="2"/>
  <c r="J95" i="2"/>
  <c r="I138" i="2"/>
  <c r="R25" i="2"/>
  <c r="K25" i="2"/>
  <c r="Q37" i="2"/>
  <c r="I45" i="2"/>
  <c r="O51" i="2"/>
  <c r="I96" i="2"/>
  <c r="I104" i="2"/>
  <c r="Q114" i="2"/>
  <c r="G88" i="2"/>
  <c r="P88" i="2"/>
  <c r="J138" i="2"/>
  <c r="O38" i="2"/>
  <c r="G46" i="2"/>
  <c r="K52" i="2"/>
  <c r="H97" i="2"/>
  <c r="Q106" i="2"/>
  <c r="Q88" i="2"/>
  <c r="N140" i="2"/>
  <c r="F21" i="2"/>
  <c r="K39" i="2"/>
  <c r="Q46" i="2"/>
  <c r="I53" i="2"/>
  <c r="H67" i="6" s="1"/>
  <c r="R97" i="2"/>
  <c r="P107" i="2"/>
  <c r="H88" i="2"/>
  <c r="R88" i="2"/>
  <c r="O140" i="2"/>
  <c r="N138" i="2"/>
  <c r="I88" i="2"/>
  <c r="P140" i="2"/>
  <c r="O138" i="2"/>
  <c r="G41" i="2"/>
  <c r="K48" i="2"/>
  <c r="Q54" i="2"/>
  <c r="P99" i="2"/>
  <c r="N109" i="2"/>
  <c r="J88" i="2"/>
  <c r="Q140" i="2"/>
  <c r="P138" i="2"/>
  <c r="K88" i="2"/>
  <c r="H140" i="2"/>
  <c r="R140" i="2"/>
  <c r="Q138" i="2"/>
  <c r="I36" i="2"/>
  <c r="O42" i="2"/>
  <c r="G50" i="2"/>
  <c r="G109" i="2"/>
  <c r="N101" i="2"/>
  <c r="J111" i="2"/>
  <c r="N88" i="2"/>
  <c r="I140" i="2"/>
  <c r="H138" i="2"/>
  <c r="F152" i="2"/>
  <c r="F154" i="2" s="1"/>
  <c r="F92" i="2"/>
  <c r="F123" i="2" s="1"/>
  <c r="G32" i="3"/>
  <c r="G94" i="3"/>
  <c r="G66" i="3"/>
  <c r="G123" i="3"/>
  <c r="G95" i="3"/>
  <c r="G67" i="3"/>
  <c r="G124" i="3"/>
  <c r="G46" i="3"/>
  <c r="G68" i="3"/>
  <c r="G125" i="3"/>
  <c r="G58" i="3"/>
  <c r="G47" i="3"/>
  <c r="G126" i="3"/>
  <c r="G48" i="3"/>
  <c r="F17" i="3"/>
  <c r="G63" i="3"/>
  <c r="G129" i="3"/>
  <c r="G115" i="3"/>
  <c r="O28" i="4"/>
  <c r="O29" i="4" s="1"/>
  <c r="P28" i="4"/>
  <c r="P29" i="4" s="1"/>
  <c r="E8" i="7"/>
  <c r="E7" i="7"/>
  <c r="G28" i="4"/>
  <c r="G59" i="3"/>
  <c r="Q28" i="4"/>
  <c r="Q29" i="4" s="1"/>
  <c r="E11" i="7"/>
  <c r="E15" i="7"/>
  <c r="G138" i="2"/>
  <c r="I114" i="2"/>
  <c r="I54" i="2"/>
  <c r="E19" i="7"/>
  <c r="O29" i="2"/>
  <c r="H28" i="4"/>
  <c r="H29" i="4" s="1"/>
  <c r="H113" i="2"/>
  <c r="R113" i="2"/>
  <c r="E9" i="7"/>
  <c r="G140" i="2"/>
  <c r="G57" i="3"/>
  <c r="N28" i="4"/>
  <c r="N29" i="4" s="1"/>
  <c r="J90" i="2"/>
  <c r="J29" i="2"/>
  <c r="P114" i="2"/>
  <c r="P54" i="2"/>
  <c r="P111" i="2"/>
  <c r="P51" i="2"/>
  <c r="P112" i="2"/>
  <c r="P52" i="2"/>
  <c r="J19" i="2"/>
  <c r="N108" i="2"/>
  <c r="N50" i="2"/>
  <c r="J96" i="2"/>
  <c r="J36" i="2"/>
  <c r="H38" i="2"/>
  <c r="H98" i="2"/>
  <c r="R38" i="2"/>
  <c r="R98" i="2"/>
  <c r="P41" i="2"/>
  <c r="P40" i="2"/>
  <c r="P101" i="2"/>
  <c r="P100" i="2"/>
  <c r="N42" i="2"/>
  <c r="N104" i="2"/>
  <c r="N102" i="2"/>
  <c r="N44" i="2"/>
  <c r="J48" i="2"/>
  <c r="J109" i="2"/>
  <c r="H47" i="2"/>
  <c r="H107" i="2"/>
  <c r="H106" i="2"/>
  <c r="H46" i="2"/>
  <c r="R47" i="2"/>
  <c r="R107" i="2"/>
  <c r="R106" i="2"/>
  <c r="R46" i="2"/>
  <c r="P49" i="2"/>
  <c r="P11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P29" i="2"/>
  <c r="P38" i="2"/>
  <c r="J40" i="2"/>
  <c r="H41" i="2"/>
  <c r="R41" i="2"/>
  <c r="P42" i="2"/>
  <c r="P47" i="2"/>
  <c r="J49" i="2"/>
  <c r="H50" i="2"/>
  <c r="R50" i="2"/>
  <c r="N52" i="2"/>
  <c r="M66" i="6" s="1"/>
  <c r="J53" i="2"/>
  <c r="I67" i="6" s="1"/>
  <c r="H54" i="2"/>
  <c r="R54" i="2"/>
  <c r="I28" i="4"/>
  <c r="I29" i="4" s="1"/>
  <c r="G102" i="2"/>
  <c r="G110" i="2"/>
  <c r="O101" i="2"/>
  <c r="J104" i="2"/>
  <c r="Q107" i="2"/>
  <c r="P108" i="2"/>
  <c r="O109" i="2"/>
  <c r="N110" i="2"/>
  <c r="K111" i="2"/>
  <c r="J112" i="2"/>
  <c r="E16" i="7"/>
  <c r="E24" i="7"/>
  <c r="E40" i="7"/>
  <c r="E48" i="7"/>
  <c r="E56" i="7"/>
  <c r="G19" i="2"/>
  <c r="P19" i="2"/>
  <c r="G29" i="2"/>
  <c r="Q29" i="2"/>
  <c r="K36" i="2"/>
  <c r="G38" i="2"/>
  <c r="K40" i="2"/>
  <c r="I41" i="2"/>
  <c r="Q42" i="2"/>
  <c r="O44" i="2"/>
  <c r="I46" i="2"/>
  <c r="G47" i="2"/>
  <c r="I50" i="2"/>
  <c r="G51" i="2"/>
  <c r="Q51" i="2"/>
  <c r="O52" i="2"/>
  <c r="K53" i="2"/>
  <c r="J67" i="6" s="1"/>
  <c r="J28" i="4"/>
  <c r="J29" i="4" s="1"/>
  <c r="G111" i="2"/>
  <c r="I98" i="2"/>
  <c r="Q100" i="2"/>
  <c r="O102" i="2"/>
  <c r="N103" i="2"/>
  <c r="K104" i="2"/>
  <c r="I106" i="2"/>
  <c r="P109" i="2"/>
  <c r="O110" i="2"/>
  <c r="N111" i="2"/>
  <c r="E23" i="7"/>
  <c r="E35" i="7"/>
  <c r="E39" i="7"/>
  <c r="E43" i="7"/>
  <c r="E47" i="7"/>
  <c r="E51" i="7"/>
  <c r="E55" i="7"/>
  <c r="Q19" i="2"/>
  <c r="H29" i="2"/>
  <c r="R29" i="2"/>
  <c r="N36" i="2"/>
  <c r="N40" i="2"/>
  <c r="J41" i="2"/>
  <c r="H42" i="2"/>
  <c r="R42" i="2"/>
  <c r="P44" i="2"/>
  <c r="J46" i="2"/>
  <c r="J50" i="2"/>
  <c r="H51" i="2"/>
  <c r="R51" i="2"/>
  <c r="N53" i="2"/>
  <c r="M67" i="6" s="1"/>
  <c r="J54" i="2"/>
  <c r="G96" i="2"/>
  <c r="G104" i="2"/>
  <c r="G112" i="2"/>
  <c r="N96" i="2"/>
  <c r="J98" i="2"/>
  <c r="H100" i="2"/>
  <c r="R100" i="2"/>
  <c r="Q101" i="2"/>
  <c r="P102" i="2"/>
  <c r="J106" i="2"/>
  <c r="I107" i="2"/>
  <c r="Q109" i="2"/>
  <c r="H19" i="2"/>
  <c r="R19" i="2"/>
  <c r="I29" i="2"/>
  <c r="G35" i="2"/>
  <c r="O36" i="2"/>
  <c r="O40" i="2"/>
  <c r="K41" i="2"/>
  <c r="I42" i="2"/>
  <c r="G44" i="2"/>
  <c r="Q44" i="2"/>
  <c r="K46" i="2"/>
  <c r="K50" i="2"/>
  <c r="I51" i="2"/>
  <c r="G52" i="2"/>
  <c r="Q52" i="2"/>
  <c r="O53" i="2"/>
  <c r="N67" i="6" s="1"/>
  <c r="K54" i="2"/>
  <c r="G97" i="2"/>
  <c r="G113" i="2"/>
  <c r="K98" i="2"/>
  <c r="I100" i="2"/>
  <c r="H101" i="2"/>
  <c r="R101" i="2"/>
  <c r="Q102" i="2"/>
  <c r="K106" i="2"/>
  <c r="J107" i="2"/>
  <c r="H109" i="2"/>
  <c r="R109" i="2"/>
  <c r="Q110" i="2"/>
  <c r="E12" i="7"/>
  <c r="E20" i="7"/>
  <c r="E28" i="7"/>
  <c r="E36" i="7"/>
  <c r="E44" i="7"/>
  <c r="E52" i="7"/>
  <c r="I19" i="2"/>
  <c r="P36" i="2"/>
  <c r="N41" i="2"/>
  <c r="J42" i="2"/>
  <c r="H44" i="2"/>
  <c r="R44" i="2"/>
  <c r="N46" i="2"/>
  <c r="H52" i="2"/>
  <c r="R52" i="2"/>
  <c r="P53" i="2"/>
  <c r="O67" i="6" s="1"/>
  <c r="N54" i="2"/>
  <c r="G106" i="2"/>
  <c r="G114" i="2"/>
  <c r="N98" i="2"/>
  <c r="J100" i="2"/>
  <c r="H102" i="2"/>
  <c r="R102" i="2"/>
  <c r="N106" i="2"/>
  <c r="K107" i="2"/>
  <c r="I109" i="2"/>
  <c r="H110" i="2"/>
  <c r="R110" i="2"/>
  <c r="K29" i="2"/>
  <c r="Q36" i="2"/>
  <c r="G40" i="2"/>
  <c r="I44" i="2"/>
  <c r="G45" i="2"/>
  <c r="O46" i="2"/>
  <c r="G49" i="2"/>
  <c r="Q53" i="2"/>
  <c r="P67" i="6" s="1"/>
  <c r="O54" i="2"/>
  <c r="G56" i="3"/>
  <c r="G99" i="2"/>
  <c r="K100" i="2"/>
  <c r="O106" i="2"/>
  <c r="N107" i="2"/>
  <c r="E13" i="7"/>
  <c r="E17" i="7"/>
  <c r="E21" i="7"/>
  <c r="E25" i="7"/>
  <c r="E29" i="7"/>
  <c r="E37" i="7"/>
  <c r="E41" i="7"/>
  <c r="E45" i="7"/>
  <c r="E49" i="7"/>
  <c r="E53" i="7"/>
  <c r="E57" i="7"/>
  <c r="G25" i="2"/>
  <c r="N29" i="2"/>
  <c r="H36" i="2"/>
  <c r="R36" i="2"/>
  <c r="J44" i="2"/>
  <c r="P46" i="2"/>
  <c r="G28" i="3"/>
  <c r="G100" i="2"/>
  <c r="G108" i="2"/>
  <c r="G16" i="3"/>
  <c r="G25" i="3"/>
  <c r="G20" i="3"/>
  <c r="G15" i="3"/>
  <c r="H1" i="3"/>
  <c r="N61" i="6" l="1"/>
  <c r="T23" i="5"/>
  <c r="T14" i="5"/>
  <c r="T31" i="5"/>
  <c r="T24" i="5"/>
  <c r="M60" i="6"/>
  <c r="T45" i="5"/>
  <c r="T30" i="5"/>
  <c r="T32" i="5"/>
  <c r="Q62" i="6"/>
  <c r="T28" i="5"/>
  <c r="T13" i="5"/>
  <c r="P60" i="6"/>
  <c r="T52" i="5"/>
  <c r="T27" i="5"/>
  <c r="T12" i="5"/>
  <c r="T25" i="5"/>
  <c r="T53" i="5"/>
  <c r="H61" i="6"/>
  <c r="P62" i="6"/>
  <c r="G62" i="6"/>
  <c r="I61" i="6"/>
  <c r="F72" i="2"/>
  <c r="P64" i="6"/>
  <c r="O60" i="6"/>
  <c r="Q60" i="6"/>
  <c r="F86" i="3"/>
  <c r="F105" i="3" s="1"/>
  <c r="F166" i="3" s="1"/>
  <c r="H60" i="6"/>
  <c r="H66" i="6"/>
  <c r="J60" i="6"/>
  <c r="J61" i="6"/>
  <c r="H21" i="2"/>
  <c r="G79" i="6" s="1"/>
  <c r="H62" i="6"/>
  <c r="P65" i="6"/>
  <c r="M64" i="6"/>
  <c r="J62" i="6"/>
  <c r="G60" i="6"/>
  <c r="N60" i="6"/>
  <c r="N21" i="2"/>
  <c r="M79" i="6" s="1"/>
  <c r="J63" i="6"/>
  <c r="P61" i="6"/>
  <c r="K21" i="2"/>
  <c r="J79" i="6" s="1"/>
  <c r="R21" i="2"/>
  <c r="Q79" i="6" s="1"/>
  <c r="O65" i="6"/>
  <c r="J66" i="6"/>
  <c r="I21" i="2"/>
  <c r="H79" i="6" s="1"/>
  <c r="H64" i="6"/>
  <c r="G29" i="3"/>
  <c r="G21" i="2"/>
  <c r="F79" i="6" s="1"/>
  <c r="J77" i="6"/>
  <c r="N65" i="6"/>
  <c r="I64" i="6"/>
  <c r="N63" i="6"/>
  <c r="Q61" i="6"/>
  <c r="J21" i="2"/>
  <c r="I79" i="6" s="1"/>
  <c r="N62" i="6"/>
  <c r="O62" i="6"/>
  <c r="T111" i="2"/>
  <c r="T97" i="2"/>
  <c r="T112" i="2"/>
  <c r="T54" i="2"/>
  <c r="M61" i="6"/>
  <c r="I66" i="6"/>
  <c r="I62" i="6"/>
  <c r="Q65" i="6"/>
  <c r="G65" i="6"/>
  <c r="T88" i="2"/>
  <c r="T41" i="2"/>
  <c r="F65" i="6"/>
  <c r="T49" i="2"/>
  <c r="T104" i="2"/>
  <c r="T48" i="2"/>
  <c r="T42" i="2"/>
  <c r="T95" i="2"/>
  <c r="T29" i="2"/>
  <c r="F67" i="6"/>
  <c r="E67" i="6" s="1"/>
  <c r="T53" i="2"/>
  <c r="H77" i="6"/>
  <c r="T107" i="2"/>
  <c r="N64" i="6"/>
  <c r="T96" i="2"/>
  <c r="G29" i="4"/>
  <c r="T29" i="4" s="1"/>
  <c r="T28" i="4"/>
  <c r="T101" i="2"/>
  <c r="T39" i="2"/>
  <c r="T90" i="2"/>
  <c r="T45" i="2"/>
  <c r="T52" i="2"/>
  <c r="O61" i="6"/>
  <c r="G61" i="6"/>
  <c r="T51" i="2"/>
  <c r="I60" i="6"/>
  <c r="T140" i="2"/>
  <c r="T109" i="2"/>
  <c r="T105" i="2"/>
  <c r="T108" i="2"/>
  <c r="T114" i="2"/>
  <c r="F61" i="6"/>
  <c r="T38" i="2"/>
  <c r="T110" i="2"/>
  <c r="T100" i="2"/>
  <c r="T25" i="2"/>
  <c r="F62" i="6"/>
  <c r="T40" i="2"/>
  <c r="T106" i="2"/>
  <c r="J65" i="6"/>
  <c r="F60" i="6"/>
  <c r="T35" i="2"/>
  <c r="M62" i="6"/>
  <c r="H65" i="6"/>
  <c r="T102" i="2"/>
  <c r="T138" i="2"/>
  <c r="T50" i="2"/>
  <c r="T37" i="2"/>
  <c r="T98" i="2"/>
  <c r="T46" i="2"/>
  <c r="F63" i="6"/>
  <c r="T44" i="2"/>
  <c r="T99" i="2"/>
  <c r="T113" i="2"/>
  <c r="J64" i="6"/>
  <c r="T20" i="2"/>
  <c r="T47" i="2"/>
  <c r="T19" i="2"/>
  <c r="M65" i="6"/>
  <c r="T36" i="2"/>
  <c r="T103" i="2"/>
  <c r="H125" i="3"/>
  <c r="H124" i="3"/>
  <c r="H158" i="3"/>
  <c r="H123" i="3"/>
  <c r="H122" i="3"/>
  <c r="H130" i="3"/>
  <c r="H129" i="3"/>
  <c r="H126" i="3"/>
  <c r="N66" i="6"/>
  <c r="I77" i="6"/>
  <c r="M77" i="6"/>
  <c r="N77" i="6"/>
  <c r="Q77" i="6"/>
  <c r="P21" i="2"/>
  <c r="O79" i="6" s="1"/>
  <c r="F64" i="6"/>
  <c r="H66" i="3"/>
  <c r="H47" i="3"/>
  <c r="H65" i="3"/>
  <c r="H46" i="3"/>
  <c r="H63" i="3"/>
  <c r="H95" i="3"/>
  <c r="H94" i="3"/>
  <c r="H36" i="3"/>
  <c r="H32" i="3"/>
  <c r="H111" i="3"/>
  <c r="H68" i="3"/>
  <c r="H67" i="3"/>
  <c r="H48" i="3"/>
  <c r="H28" i="3"/>
  <c r="H56" i="3"/>
  <c r="H57" i="3"/>
  <c r="H58" i="3"/>
  <c r="H115" i="3"/>
  <c r="H59" i="3"/>
  <c r="P77" i="6"/>
  <c r="F77" i="6"/>
  <c r="G77" i="6"/>
  <c r="F70" i="6"/>
  <c r="H63" i="6"/>
  <c r="G63" i="6"/>
  <c r="O77" i="6"/>
  <c r="Q21" i="2"/>
  <c r="P79" i="6" s="1"/>
  <c r="O21" i="2"/>
  <c r="N79" i="6" s="1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G17" i="3"/>
  <c r="G22" i="3"/>
  <c r="G26" i="3"/>
  <c r="I1" i="3"/>
  <c r="H25" i="3"/>
  <c r="H20" i="3"/>
  <c r="H15" i="3"/>
  <c r="H16" i="3"/>
  <c r="F156" i="2"/>
  <c r="F20" i="1" s="1"/>
  <c r="L67" i="7" l="1"/>
  <c r="K67" i="7"/>
  <c r="E65" i="6"/>
  <c r="E60" i="6"/>
  <c r="E62" i="6"/>
  <c r="Y67" i="6"/>
  <c r="Q67" i="7"/>
  <c r="H67" i="7"/>
  <c r="P67" i="7"/>
  <c r="E61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24" i="3"/>
  <c r="I158" i="3"/>
  <c r="I123" i="3"/>
  <c r="I122" i="3"/>
  <c r="I130" i="3"/>
  <c r="I129" i="3"/>
  <c r="I126" i="3"/>
  <c r="I125" i="3"/>
  <c r="G70" i="6"/>
  <c r="H29" i="3"/>
  <c r="I65" i="3"/>
  <c r="I46" i="3"/>
  <c r="I63" i="3"/>
  <c r="I95" i="3"/>
  <c r="I94" i="3"/>
  <c r="I36" i="3"/>
  <c r="I32" i="3"/>
  <c r="I111" i="3"/>
  <c r="I68" i="3"/>
  <c r="I67" i="3"/>
  <c r="I48" i="3"/>
  <c r="I66" i="3"/>
  <c r="I47" i="3"/>
  <c r="I115" i="3"/>
  <c r="I56" i="3"/>
  <c r="I58" i="3"/>
  <c r="I57" i="3"/>
  <c r="I28" i="3"/>
  <c r="I59" i="3"/>
  <c r="H26" i="3"/>
  <c r="H22" i="3"/>
  <c r="H17" i="3"/>
  <c r="J1" i="3"/>
  <c r="I20" i="3"/>
  <c r="I15" i="3"/>
  <c r="I16" i="3"/>
  <c r="I25" i="3"/>
  <c r="Y66" i="6" l="1"/>
  <c r="L66" i="7"/>
  <c r="M128" i="3" s="1"/>
  <c r="K66" i="7"/>
  <c r="L128" i="3" s="1"/>
  <c r="I77" i="7"/>
  <c r="J39" i="5" s="1"/>
  <c r="L77" i="7"/>
  <c r="K77" i="7"/>
  <c r="Y64" i="6"/>
  <c r="L64" i="7"/>
  <c r="K64" i="7"/>
  <c r="Y63" i="6"/>
  <c r="L63" i="7"/>
  <c r="K63" i="7"/>
  <c r="Y62" i="6"/>
  <c r="L62" i="7"/>
  <c r="M121" i="3" s="1"/>
  <c r="K62" i="7"/>
  <c r="L121" i="3" s="1"/>
  <c r="Y79" i="6"/>
  <c r="L79" i="7"/>
  <c r="M12" i="4" s="1"/>
  <c r="M13" i="4" s="1"/>
  <c r="K79" i="7"/>
  <c r="L12" i="4" s="1"/>
  <c r="L13" i="4" s="1"/>
  <c r="P60" i="7"/>
  <c r="L60" i="7"/>
  <c r="M119" i="3" s="1"/>
  <c r="K60" i="7"/>
  <c r="L119" i="3" s="1"/>
  <c r="Y65" i="6"/>
  <c r="K65" i="7"/>
  <c r="L65" i="7"/>
  <c r="F61" i="7"/>
  <c r="G89" i="3" s="1"/>
  <c r="K61" i="7"/>
  <c r="L61" i="7"/>
  <c r="J62" i="7"/>
  <c r="M60" i="7"/>
  <c r="Y60" i="6"/>
  <c r="G62" i="7"/>
  <c r="H90" i="3" s="1"/>
  <c r="H62" i="7"/>
  <c r="I90" i="3" s="1"/>
  <c r="Q60" i="7"/>
  <c r="F60" i="7"/>
  <c r="G119" i="3" s="1"/>
  <c r="H60" i="7"/>
  <c r="I119" i="3" s="1"/>
  <c r="N60" i="7"/>
  <c r="I60" i="7"/>
  <c r="J119" i="3" s="1"/>
  <c r="G60" i="7"/>
  <c r="H119" i="3" s="1"/>
  <c r="O60" i="7"/>
  <c r="J60" i="7"/>
  <c r="I65" i="7"/>
  <c r="J127" i="3" s="1"/>
  <c r="P62" i="7"/>
  <c r="M62" i="7"/>
  <c r="F62" i="7"/>
  <c r="G43" i="3" s="1"/>
  <c r="G61" i="7"/>
  <c r="H89" i="3" s="1"/>
  <c r="N61" i="7"/>
  <c r="P61" i="7"/>
  <c r="J61" i="7"/>
  <c r="Y61" i="6"/>
  <c r="Q62" i="7"/>
  <c r="I61" i="7"/>
  <c r="J120" i="3" s="1"/>
  <c r="I62" i="7"/>
  <c r="J121" i="3" s="1"/>
  <c r="N62" i="7"/>
  <c r="O62" i="7"/>
  <c r="G120" i="3"/>
  <c r="M79" i="7"/>
  <c r="F79" i="7"/>
  <c r="O66" i="7"/>
  <c r="M61" i="7"/>
  <c r="O61" i="7"/>
  <c r="Q61" i="7"/>
  <c r="H61" i="7"/>
  <c r="M63" i="7"/>
  <c r="H63" i="7"/>
  <c r="I35" i="5" s="1"/>
  <c r="P63" i="7"/>
  <c r="F64" i="7"/>
  <c r="G45" i="3" s="1"/>
  <c r="P77" i="7"/>
  <c r="F77" i="7"/>
  <c r="G115" i="2" s="1"/>
  <c r="F66" i="7"/>
  <c r="G128" i="3" s="1"/>
  <c r="N77" i="7"/>
  <c r="O39" i="5" s="1"/>
  <c r="O63" i="7"/>
  <c r="Q63" i="7"/>
  <c r="I63" i="7"/>
  <c r="J91" i="3" s="1"/>
  <c r="G63" i="7"/>
  <c r="O64" i="7"/>
  <c r="M77" i="7"/>
  <c r="M39" i="5" s="1"/>
  <c r="Y77" i="6"/>
  <c r="O77" i="7"/>
  <c r="J55" i="2"/>
  <c r="J56" i="2" s="1"/>
  <c r="P64" i="7"/>
  <c r="N64" i="7"/>
  <c r="I64" i="7"/>
  <c r="J45" i="3" s="1"/>
  <c r="M64" i="7"/>
  <c r="H64" i="7"/>
  <c r="J64" i="7"/>
  <c r="J79" i="7"/>
  <c r="J66" i="7"/>
  <c r="H66" i="7"/>
  <c r="I128" i="3" s="1"/>
  <c r="I66" i="7"/>
  <c r="J128" i="3" s="1"/>
  <c r="M66" i="7"/>
  <c r="O79" i="7"/>
  <c r="P79" i="7"/>
  <c r="P66" i="7"/>
  <c r="I79" i="7"/>
  <c r="J31" i="2" s="1"/>
  <c r="N79" i="7"/>
  <c r="M65" i="7"/>
  <c r="N65" i="7"/>
  <c r="J65" i="7"/>
  <c r="P65" i="7"/>
  <c r="F65" i="7"/>
  <c r="H65" i="7"/>
  <c r="Q65" i="7"/>
  <c r="O65" i="7"/>
  <c r="G65" i="7"/>
  <c r="H79" i="7"/>
  <c r="I143" i="3" s="1"/>
  <c r="G66" i="7"/>
  <c r="N66" i="7"/>
  <c r="N63" i="7"/>
  <c r="F63" i="7"/>
  <c r="J63" i="7"/>
  <c r="Q79" i="7"/>
  <c r="G64" i="7"/>
  <c r="J77" i="7"/>
  <c r="H77" i="7"/>
  <c r="G77" i="7"/>
  <c r="Q77" i="7"/>
  <c r="G79" i="7"/>
  <c r="H143" i="3" s="1"/>
  <c r="Q66" i="7"/>
  <c r="Q64" i="7"/>
  <c r="E67" i="7"/>
  <c r="J158" i="3"/>
  <c r="J123" i="3"/>
  <c r="J122" i="3"/>
  <c r="J130" i="3"/>
  <c r="J129" i="3"/>
  <c r="J126" i="3"/>
  <c r="J125" i="3"/>
  <c r="J124" i="3"/>
  <c r="I29" i="3"/>
  <c r="J63" i="3"/>
  <c r="J95" i="3"/>
  <c r="J94" i="3"/>
  <c r="J36" i="3"/>
  <c r="J32" i="3"/>
  <c r="J111" i="3"/>
  <c r="J68" i="3"/>
  <c r="J67" i="3"/>
  <c r="J48" i="3"/>
  <c r="J66" i="3"/>
  <c r="J47" i="3"/>
  <c r="J65" i="3"/>
  <c r="J46" i="3"/>
  <c r="J115" i="3"/>
  <c r="J56" i="3"/>
  <c r="J57" i="3"/>
  <c r="J58" i="3"/>
  <c r="J28" i="3"/>
  <c r="J59" i="3"/>
  <c r="H70" i="6"/>
  <c r="I22" i="3"/>
  <c r="I26" i="3"/>
  <c r="I17" i="3"/>
  <c r="K1" i="3"/>
  <c r="J15" i="3"/>
  <c r="J16" i="3"/>
  <c r="J25" i="3"/>
  <c r="J20" i="3"/>
  <c r="L39" i="5" l="1"/>
  <c r="L145" i="3"/>
  <c r="L148" i="3"/>
  <c r="L144" i="3"/>
  <c r="L147" i="3"/>
  <c r="L143" i="3"/>
  <c r="M145" i="3"/>
  <c r="M148" i="3"/>
  <c r="M144" i="3"/>
  <c r="M147" i="3"/>
  <c r="M143" i="3"/>
  <c r="M93" i="3"/>
  <c r="M127" i="3"/>
  <c r="M89" i="3"/>
  <c r="M120" i="3"/>
  <c r="M64" i="3"/>
  <c r="M71" i="3" s="1"/>
  <c r="M137" i="3"/>
  <c r="M132" i="3"/>
  <c r="L93" i="3"/>
  <c r="L127" i="3"/>
  <c r="L89" i="3"/>
  <c r="L120" i="3"/>
  <c r="L64" i="3"/>
  <c r="L71" i="3" s="1"/>
  <c r="L137" i="3"/>
  <c r="L132" i="3"/>
  <c r="M45" i="3"/>
  <c r="M92" i="3"/>
  <c r="L43" i="3"/>
  <c r="L90" i="3"/>
  <c r="M43" i="3"/>
  <c r="M90" i="3"/>
  <c r="L44" i="3"/>
  <c r="L91" i="3"/>
  <c r="M44" i="3"/>
  <c r="M91" i="3"/>
  <c r="L45" i="3"/>
  <c r="L92" i="3"/>
  <c r="M49" i="5"/>
  <c r="M33" i="5"/>
  <c r="M47" i="5"/>
  <c r="M48" i="5"/>
  <c r="M46" i="5"/>
  <c r="M38" i="5"/>
  <c r="M18" i="5"/>
  <c r="M20" i="5" s="1"/>
  <c r="M42" i="5"/>
  <c r="M44" i="5"/>
  <c r="M43" i="5"/>
  <c r="M34" i="5"/>
  <c r="M41" i="5"/>
  <c r="M35" i="5"/>
  <c r="L41" i="5"/>
  <c r="L35" i="5"/>
  <c r="L42" i="5"/>
  <c r="L48" i="5"/>
  <c r="L46" i="5"/>
  <c r="L47" i="5"/>
  <c r="L38" i="5"/>
  <c r="L18" i="5"/>
  <c r="L20" i="5" s="1"/>
  <c r="L44" i="5"/>
  <c r="L34" i="5"/>
  <c r="L43" i="5"/>
  <c r="L49" i="5"/>
  <c r="L33" i="5"/>
  <c r="J115" i="2"/>
  <c r="J116" i="2" s="1"/>
  <c r="N41" i="5"/>
  <c r="L142" i="2"/>
  <c r="L145" i="2"/>
  <c r="L148" i="2"/>
  <c r="L135" i="2"/>
  <c r="L131" i="2"/>
  <c r="M142" i="2"/>
  <c r="M145" i="2"/>
  <c r="M148" i="2"/>
  <c r="M135" i="2"/>
  <c r="M131" i="2"/>
  <c r="K135" i="2"/>
  <c r="K142" i="2"/>
  <c r="K148" i="2"/>
  <c r="K131" i="2"/>
  <c r="K145" i="2"/>
  <c r="L115" i="2"/>
  <c r="L116" i="2" s="1"/>
  <c r="L55" i="2"/>
  <c r="L56" i="2" s="1"/>
  <c r="K74" i="6" s="1"/>
  <c r="M55" i="2"/>
  <c r="M56" i="2" s="1"/>
  <c r="L74" i="6" s="1"/>
  <c r="M115" i="2"/>
  <c r="M116" i="2" s="1"/>
  <c r="L76" i="2"/>
  <c r="L31" i="2"/>
  <c r="L27" i="2"/>
  <c r="L13" i="2"/>
  <c r="M27" i="2"/>
  <c r="M13" i="2"/>
  <c r="M31" i="2"/>
  <c r="M76" i="2"/>
  <c r="N39" i="5"/>
  <c r="N31" i="2"/>
  <c r="G143" i="3"/>
  <c r="J143" i="3"/>
  <c r="J113" i="3"/>
  <c r="J117" i="3"/>
  <c r="H117" i="3"/>
  <c r="I117" i="3"/>
  <c r="G113" i="3"/>
  <c r="G117" i="3"/>
  <c r="H38" i="3"/>
  <c r="H113" i="3"/>
  <c r="I38" i="3"/>
  <c r="I113" i="3"/>
  <c r="J38" i="3"/>
  <c r="G31" i="2"/>
  <c r="G38" i="3"/>
  <c r="R27" i="2"/>
  <c r="R31" i="2"/>
  <c r="O27" i="2"/>
  <c r="O31" i="2"/>
  <c r="P27" i="2"/>
  <c r="P31" i="2"/>
  <c r="K27" i="2"/>
  <c r="K31" i="2"/>
  <c r="H27" i="2"/>
  <c r="H31" i="2"/>
  <c r="I27" i="2"/>
  <c r="I31" i="2"/>
  <c r="Q27" i="2"/>
  <c r="Q31" i="2"/>
  <c r="G109" i="3"/>
  <c r="G27" i="2"/>
  <c r="J144" i="3"/>
  <c r="J27" i="2"/>
  <c r="J32" i="2" s="1"/>
  <c r="I88" i="6" s="1"/>
  <c r="N44" i="5"/>
  <c r="N27" i="2"/>
  <c r="N42" i="5"/>
  <c r="N48" i="5"/>
  <c r="N18" i="5"/>
  <c r="N20" i="5" s="1"/>
  <c r="N9" i="1" s="1"/>
  <c r="N43" i="5"/>
  <c r="H121" i="3"/>
  <c r="H43" i="3"/>
  <c r="G49" i="5"/>
  <c r="N38" i="5"/>
  <c r="N83" i="2"/>
  <c r="N131" i="2"/>
  <c r="N49" i="5"/>
  <c r="N82" i="2"/>
  <c r="N135" i="2"/>
  <c r="N34" i="5"/>
  <c r="N84" i="2"/>
  <c r="N91" i="2"/>
  <c r="N13" i="2"/>
  <c r="I121" i="3"/>
  <c r="G39" i="5"/>
  <c r="J93" i="3"/>
  <c r="G33" i="5"/>
  <c r="J89" i="3"/>
  <c r="G132" i="3"/>
  <c r="G76" i="2"/>
  <c r="J90" i="3"/>
  <c r="G34" i="5"/>
  <c r="G144" i="3"/>
  <c r="G131" i="2"/>
  <c r="G38" i="5"/>
  <c r="G148" i="2"/>
  <c r="G145" i="2"/>
  <c r="J43" i="3"/>
  <c r="G42" i="5"/>
  <c r="G84" i="2"/>
  <c r="G13" i="2"/>
  <c r="G44" i="5"/>
  <c r="G46" i="5"/>
  <c r="G148" i="3"/>
  <c r="G90" i="3"/>
  <c r="G48" i="5"/>
  <c r="G43" i="5"/>
  <c r="G121" i="3"/>
  <c r="G18" i="5"/>
  <c r="G20" i="5" s="1"/>
  <c r="G9" i="1" s="1"/>
  <c r="G47" i="5"/>
  <c r="H120" i="3"/>
  <c r="G83" i="2"/>
  <c r="N145" i="2"/>
  <c r="N76" i="2"/>
  <c r="N89" i="2"/>
  <c r="N47" i="5"/>
  <c r="G55" i="2"/>
  <c r="G56" i="2" s="1"/>
  <c r="N12" i="4"/>
  <c r="N13" i="4" s="1"/>
  <c r="N46" i="5"/>
  <c r="N142" i="2"/>
  <c r="I43" i="3"/>
  <c r="J109" i="3"/>
  <c r="N148" i="2"/>
  <c r="N33" i="5"/>
  <c r="O115" i="2"/>
  <c r="O116" i="2" s="1"/>
  <c r="O55" i="2"/>
  <c r="O56" i="2" s="1"/>
  <c r="E60" i="7"/>
  <c r="G91" i="2"/>
  <c r="G135" i="2"/>
  <c r="G82" i="2"/>
  <c r="G108" i="3"/>
  <c r="G142" i="2"/>
  <c r="J44" i="3"/>
  <c r="G12" i="4"/>
  <c r="G13" i="4" s="1"/>
  <c r="G110" i="3"/>
  <c r="G137" i="3"/>
  <c r="E62" i="7"/>
  <c r="N115" i="2"/>
  <c r="N116" i="2" s="1"/>
  <c r="N55" i="2"/>
  <c r="N56" i="2" s="1"/>
  <c r="J132" i="3"/>
  <c r="J92" i="3"/>
  <c r="J108" i="3"/>
  <c r="G145" i="3"/>
  <c r="G89" i="2"/>
  <c r="G64" i="3"/>
  <c r="E61" i="7"/>
  <c r="J148" i="3"/>
  <c r="J110" i="3"/>
  <c r="G147" i="3"/>
  <c r="G116" i="2"/>
  <c r="J137" i="3"/>
  <c r="N35" i="5"/>
  <c r="I120" i="3"/>
  <c r="I89" i="3"/>
  <c r="J64" i="3"/>
  <c r="J147" i="3"/>
  <c r="J145" i="3"/>
  <c r="G92" i="3"/>
  <c r="Q55" i="2"/>
  <c r="Q56" i="2" s="1"/>
  <c r="Q115" i="2"/>
  <c r="Q116" i="2" s="1"/>
  <c r="Q39" i="5"/>
  <c r="Q35" i="5"/>
  <c r="Q41" i="5"/>
  <c r="I41" i="5"/>
  <c r="I91" i="3"/>
  <c r="I44" i="3"/>
  <c r="R35" i="5"/>
  <c r="R41" i="5"/>
  <c r="P35" i="5"/>
  <c r="P41" i="5"/>
  <c r="H44" i="3"/>
  <c r="H91" i="3"/>
  <c r="H35" i="5"/>
  <c r="H41" i="5"/>
  <c r="J41" i="5"/>
  <c r="J35" i="5"/>
  <c r="P39" i="5"/>
  <c r="P115" i="2"/>
  <c r="P116" i="2" s="1"/>
  <c r="P55" i="2"/>
  <c r="P56" i="2" s="1"/>
  <c r="H115" i="2"/>
  <c r="H116" i="2" s="1"/>
  <c r="H55" i="2"/>
  <c r="H56" i="2" s="1"/>
  <c r="E77" i="7"/>
  <c r="H39" i="5"/>
  <c r="I33" i="5"/>
  <c r="I148" i="3"/>
  <c r="I142" i="2"/>
  <c r="I76" i="2"/>
  <c r="I18" i="5"/>
  <c r="I20" i="5" s="1"/>
  <c r="I9" i="1" s="1"/>
  <c r="I147" i="3"/>
  <c r="I83" i="2"/>
  <c r="I12" i="4"/>
  <c r="I13" i="4" s="1"/>
  <c r="I48" i="5"/>
  <c r="I131" i="2"/>
  <c r="I82" i="2"/>
  <c r="I46" i="5"/>
  <c r="I44" i="5"/>
  <c r="I64" i="3"/>
  <c r="I148" i="2"/>
  <c r="I91" i="2"/>
  <c r="I13" i="2"/>
  <c r="I42" i="5"/>
  <c r="I47" i="5"/>
  <c r="I145" i="3"/>
  <c r="I108" i="3"/>
  <c r="I135" i="2"/>
  <c r="I89" i="2"/>
  <c r="I38" i="5"/>
  <c r="I43" i="5"/>
  <c r="I145" i="2"/>
  <c r="I144" i="3"/>
  <c r="I109" i="3"/>
  <c r="I34" i="5"/>
  <c r="I132" i="3"/>
  <c r="I110" i="3"/>
  <c r="I49" i="5"/>
  <c r="I137" i="3"/>
  <c r="I84" i="2"/>
  <c r="I39" i="5"/>
  <c r="I115" i="2"/>
  <c r="I116" i="2" s="1"/>
  <c r="I55" i="2"/>
  <c r="I56" i="2" s="1"/>
  <c r="H127" i="3"/>
  <c r="H93" i="3"/>
  <c r="I92" i="3"/>
  <c r="I45" i="3"/>
  <c r="K39" i="5"/>
  <c r="K55" i="2"/>
  <c r="K56" i="2" s="1"/>
  <c r="K115" i="2"/>
  <c r="K116" i="2" s="1"/>
  <c r="O47" i="5"/>
  <c r="O89" i="2"/>
  <c r="O43" i="5"/>
  <c r="O84" i="2"/>
  <c r="O46" i="5"/>
  <c r="O148" i="2"/>
  <c r="O76" i="2"/>
  <c r="O42" i="5"/>
  <c r="O145" i="2"/>
  <c r="O135" i="2"/>
  <c r="O83" i="2"/>
  <c r="O38" i="5"/>
  <c r="O142" i="2"/>
  <c r="O82" i="2"/>
  <c r="O12" i="4"/>
  <c r="O13" i="4" s="1"/>
  <c r="O18" i="5"/>
  <c r="O20" i="5" s="1"/>
  <c r="O9" i="1" s="1"/>
  <c r="O34" i="5"/>
  <c r="O48" i="5"/>
  <c r="O49" i="5"/>
  <c r="O131" i="2"/>
  <c r="O13" i="2"/>
  <c r="O44" i="5"/>
  <c r="O33" i="5"/>
  <c r="O91" i="2"/>
  <c r="K48" i="5"/>
  <c r="K76" i="2"/>
  <c r="K44" i="5"/>
  <c r="K47" i="5"/>
  <c r="K12" i="4"/>
  <c r="K13" i="4" s="1"/>
  <c r="K43" i="5"/>
  <c r="K83" i="2"/>
  <c r="K13" i="2"/>
  <c r="K46" i="5"/>
  <c r="K82" i="2"/>
  <c r="K49" i="5"/>
  <c r="K42" i="5"/>
  <c r="K91" i="2"/>
  <c r="K33" i="5"/>
  <c r="K38" i="5"/>
  <c r="K89" i="2"/>
  <c r="K18" i="5"/>
  <c r="K20" i="5" s="1"/>
  <c r="K9" i="1" s="1"/>
  <c r="K34" i="5"/>
  <c r="K84" i="2"/>
  <c r="J18" i="5"/>
  <c r="J20" i="5" s="1"/>
  <c r="J9" i="1" s="1"/>
  <c r="J148" i="2"/>
  <c r="J48" i="5"/>
  <c r="J145" i="2"/>
  <c r="J135" i="2"/>
  <c r="J84" i="2"/>
  <c r="J46" i="5"/>
  <c r="J44" i="5"/>
  <c r="J76" i="2"/>
  <c r="J42" i="5"/>
  <c r="J47" i="5"/>
  <c r="J83" i="2"/>
  <c r="J38" i="5"/>
  <c r="J43" i="5"/>
  <c r="J82" i="2"/>
  <c r="J13" i="2"/>
  <c r="J34" i="5"/>
  <c r="J142" i="2"/>
  <c r="J91" i="2"/>
  <c r="J49" i="5"/>
  <c r="J89" i="2"/>
  <c r="J33" i="5"/>
  <c r="J131" i="2"/>
  <c r="J12" i="4"/>
  <c r="J13" i="4" s="1"/>
  <c r="H45" i="3"/>
  <c r="H92" i="3"/>
  <c r="E64" i="7"/>
  <c r="I127" i="3"/>
  <c r="I93" i="3"/>
  <c r="O35" i="5"/>
  <c r="O41" i="5"/>
  <c r="R43" i="5"/>
  <c r="R48" i="5"/>
  <c r="R46" i="5"/>
  <c r="R44" i="5"/>
  <c r="R89" i="2"/>
  <c r="R42" i="5"/>
  <c r="R84" i="2"/>
  <c r="R38" i="5"/>
  <c r="R145" i="2"/>
  <c r="R135" i="2"/>
  <c r="R76" i="2"/>
  <c r="R34" i="5"/>
  <c r="R142" i="2"/>
  <c r="R83" i="2"/>
  <c r="R49" i="5"/>
  <c r="R82" i="2"/>
  <c r="R13" i="2"/>
  <c r="R33" i="5"/>
  <c r="R131" i="2"/>
  <c r="R91" i="2"/>
  <c r="R47" i="5"/>
  <c r="R18" i="5"/>
  <c r="R20" i="5" s="1"/>
  <c r="R9" i="1" s="1"/>
  <c r="R148" i="2"/>
  <c r="R12" i="4"/>
  <c r="R13" i="4" s="1"/>
  <c r="G93" i="3"/>
  <c r="G127" i="3"/>
  <c r="E65" i="7"/>
  <c r="H47" i="5"/>
  <c r="H18" i="5"/>
  <c r="H20" i="5" s="1"/>
  <c r="H9" i="1" s="1"/>
  <c r="H145" i="3"/>
  <c r="H110" i="3"/>
  <c r="H142" i="2"/>
  <c r="H89" i="2"/>
  <c r="H43" i="5"/>
  <c r="H48" i="5"/>
  <c r="H144" i="3"/>
  <c r="H108" i="3"/>
  <c r="H46" i="5"/>
  <c r="H44" i="5"/>
  <c r="H132" i="3"/>
  <c r="H131" i="2"/>
  <c r="H84" i="2"/>
  <c r="E79" i="7"/>
  <c r="H42" i="5"/>
  <c r="H145" i="2"/>
  <c r="H137" i="3"/>
  <c r="H148" i="2"/>
  <c r="H76" i="2"/>
  <c r="H38" i="5"/>
  <c r="H148" i="3"/>
  <c r="H83" i="2"/>
  <c r="H34" i="5"/>
  <c r="H147" i="3"/>
  <c r="H82" i="2"/>
  <c r="H49" i="5"/>
  <c r="H64" i="3"/>
  <c r="H91" i="2"/>
  <c r="H33" i="5"/>
  <c r="H109" i="3"/>
  <c r="H135" i="2"/>
  <c r="H12" i="4"/>
  <c r="H13" i="4" s="1"/>
  <c r="H13" i="2"/>
  <c r="K41" i="5"/>
  <c r="K35" i="5"/>
  <c r="H128" i="3"/>
  <c r="E66" i="7"/>
  <c r="Q46" i="5"/>
  <c r="Q44" i="5"/>
  <c r="Q42" i="5"/>
  <c r="Q145" i="2"/>
  <c r="Q131" i="2"/>
  <c r="Q38" i="5"/>
  <c r="Q148" i="2"/>
  <c r="Q84" i="2"/>
  <c r="Q12" i="4"/>
  <c r="Q13" i="4" s="1"/>
  <c r="Q34" i="5"/>
  <c r="Q76" i="2"/>
  <c r="Q89" i="2"/>
  <c r="Q49" i="5"/>
  <c r="Q83" i="2"/>
  <c r="Q13" i="2"/>
  <c r="Q33" i="5"/>
  <c r="Q82" i="2"/>
  <c r="Q47" i="5"/>
  <c r="Q18" i="5"/>
  <c r="Q20" i="5" s="1"/>
  <c r="Q9" i="1" s="1"/>
  <c r="Q135" i="2"/>
  <c r="Q91" i="2"/>
  <c r="Q43" i="5"/>
  <c r="Q48" i="5"/>
  <c r="Q142" i="2"/>
  <c r="R55" i="2"/>
  <c r="R56" i="2" s="1"/>
  <c r="R39" i="5"/>
  <c r="R115" i="2"/>
  <c r="R116" i="2" s="1"/>
  <c r="G44" i="3"/>
  <c r="G91" i="3"/>
  <c r="G41" i="5"/>
  <c r="E63" i="7"/>
  <c r="G35" i="5"/>
  <c r="P34" i="5"/>
  <c r="P135" i="2"/>
  <c r="P82" i="2"/>
  <c r="P48" i="5"/>
  <c r="P49" i="5"/>
  <c r="P142" i="2"/>
  <c r="P44" i="5"/>
  <c r="P33" i="5"/>
  <c r="P47" i="5"/>
  <c r="P18" i="5"/>
  <c r="P20" i="5" s="1"/>
  <c r="P9" i="1" s="1"/>
  <c r="P131" i="2"/>
  <c r="P91" i="2"/>
  <c r="P12" i="4"/>
  <c r="P13" i="4" s="1"/>
  <c r="P43" i="5"/>
  <c r="P148" i="2"/>
  <c r="P89" i="2"/>
  <c r="P46" i="5"/>
  <c r="P84" i="2"/>
  <c r="P13" i="2"/>
  <c r="P42" i="5"/>
  <c r="P76" i="2"/>
  <c r="P38" i="5"/>
  <c r="P145" i="2"/>
  <c r="P83" i="2"/>
  <c r="I74" i="6"/>
  <c r="K122" i="3"/>
  <c r="K143" i="3"/>
  <c r="K130" i="3"/>
  <c r="K129" i="3"/>
  <c r="K126" i="3"/>
  <c r="K125" i="3"/>
  <c r="K124" i="3"/>
  <c r="K158" i="3"/>
  <c r="K123" i="3"/>
  <c r="K120" i="3"/>
  <c r="K121" i="3"/>
  <c r="K128" i="3"/>
  <c r="K127" i="3"/>
  <c r="K144" i="3"/>
  <c r="K132" i="3"/>
  <c r="K137" i="3"/>
  <c r="K148" i="3"/>
  <c r="K147" i="3"/>
  <c r="K145" i="3"/>
  <c r="K95" i="3"/>
  <c r="K94" i="3"/>
  <c r="K36" i="3"/>
  <c r="K32" i="3"/>
  <c r="K111" i="3"/>
  <c r="K68" i="3"/>
  <c r="K38" i="3"/>
  <c r="K67" i="3"/>
  <c r="K48" i="3"/>
  <c r="K113" i="3"/>
  <c r="K66" i="3"/>
  <c r="K47" i="3"/>
  <c r="K65" i="3"/>
  <c r="K46" i="3"/>
  <c r="K117" i="3"/>
  <c r="K63" i="3"/>
  <c r="K57" i="3"/>
  <c r="K115" i="3"/>
  <c r="K28" i="3"/>
  <c r="K59" i="3"/>
  <c r="K56" i="3"/>
  <c r="K58" i="3"/>
  <c r="K90" i="3"/>
  <c r="K89" i="3"/>
  <c r="K93" i="3"/>
  <c r="K45" i="3"/>
  <c r="K92" i="3"/>
  <c r="K119" i="3"/>
  <c r="K44" i="3"/>
  <c r="K43" i="3"/>
  <c r="K91" i="3"/>
  <c r="K64" i="3"/>
  <c r="K108" i="3"/>
  <c r="K109" i="3"/>
  <c r="K110" i="3"/>
  <c r="I70" i="6"/>
  <c r="J29" i="3"/>
  <c r="J26" i="3"/>
  <c r="J17" i="3"/>
  <c r="J22" i="3"/>
  <c r="K15" i="3"/>
  <c r="K16" i="3"/>
  <c r="K25" i="3"/>
  <c r="K20" i="3"/>
  <c r="K72" i="6" l="1"/>
  <c r="L72" i="6"/>
  <c r="L73" i="6"/>
  <c r="K73" i="6"/>
  <c r="N32" i="2"/>
  <c r="M88" i="6" s="1"/>
  <c r="L32" i="2"/>
  <c r="M32" i="2"/>
  <c r="I92" i="2"/>
  <c r="I86" i="6"/>
  <c r="I81" i="6"/>
  <c r="P32" i="2"/>
  <c r="O88" i="6" s="1"/>
  <c r="I32" i="2"/>
  <c r="H88" i="6" s="1"/>
  <c r="K32" i="2"/>
  <c r="J88" i="6" s="1"/>
  <c r="O32" i="2"/>
  <c r="N88" i="6" s="1"/>
  <c r="T31" i="2"/>
  <c r="Q32" i="2"/>
  <c r="P88" i="6" s="1"/>
  <c r="H32" i="2"/>
  <c r="G88" i="6" s="1"/>
  <c r="R32" i="2"/>
  <c r="Q88" i="6" s="1"/>
  <c r="T27" i="2"/>
  <c r="G32" i="2"/>
  <c r="F86" i="6" s="1"/>
  <c r="N85" i="2"/>
  <c r="I73" i="6"/>
  <c r="N92" i="2"/>
  <c r="I72" i="6"/>
  <c r="N74" i="6"/>
  <c r="G85" i="2"/>
  <c r="G73" i="6"/>
  <c r="M74" i="6"/>
  <c r="F9" i="1"/>
  <c r="M81" i="6"/>
  <c r="T142" i="2"/>
  <c r="T84" i="2"/>
  <c r="T83" i="2"/>
  <c r="T82" i="2"/>
  <c r="T148" i="2"/>
  <c r="G72" i="6"/>
  <c r="T131" i="2"/>
  <c r="T135" i="2"/>
  <c r="T55" i="2"/>
  <c r="T76" i="2"/>
  <c r="T13" i="2"/>
  <c r="T145" i="2"/>
  <c r="T91" i="2"/>
  <c r="H73" i="6"/>
  <c r="T56" i="2"/>
  <c r="T13" i="4"/>
  <c r="F74" i="6"/>
  <c r="F73" i="6"/>
  <c r="T115" i="2"/>
  <c r="T42" i="5"/>
  <c r="T116" i="2"/>
  <c r="T12" i="4"/>
  <c r="T35" i="5"/>
  <c r="T89" i="2"/>
  <c r="P74" i="6"/>
  <c r="O74" i="6"/>
  <c r="J85" i="2"/>
  <c r="T41" i="5"/>
  <c r="T20" i="5"/>
  <c r="J92" i="2"/>
  <c r="Q92" i="2"/>
  <c r="T48" i="5"/>
  <c r="T33" i="5"/>
  <c r="T34" i="5"/>
  <c r="T44" i="5"/>
  <c r="H92" i="2"/>
  <c r="T46" i="5"/>
  <c r="K92" i="2"/>
  <c r="T39" i="5"/>
  <c r="T18" i="5"/>
  <c r="P92" i="2"/>
  <c r="F72" i="6"/>
  <c r="T38" i="5"/>
  <c r="T47" i="5"/>
  <c r="O85" i="2"/>
  <c r="K85" i="2"/>
  <c r="O92" i="2"/>
  <c r="P85" i="2"/>
  <c r="H72" i="6"/>
  <c r="I85" i="2"/>
  <c r="G74" i="6"/>
  <c r="Q85" i="2"/>
  <c r="R92" i="2"/>
  <c r="Q74" i="6"/>
  <c r="T49" i="5"/>
  <c r="J74" i="6"/>
  <c r="H74" i="6"/>
  <c r="H85" i="2"/>
  <c r="R85" i="2"/>
  <c r="T43" i="5"/>
  <c r="N143" i="3"/>
  <c r="N130" i="3"/>
  <c r="N129" i="3"/>
  <c r="N126" i="3"/>
  <c r="N125" i="3"/>
  <c r="N124" i="3"/>
  <c r="N158" i="3"/>
  <c r="N123" i="3"/>
  <c r="N122" i="3"/>
  <c r="N120" i="3"/>
  <c r="N127" i="3"/>
  <c r="N121" i="3"/>
  <c r="N128" i="3"/>
  <c r="N137" i="3"/>
  <c r="N148" i="3"/>
  <c r="N147" i="3"/>
  <c r="N145" i="3"/>
  <c r="N144" i="3"/>
  <c r="N132" i="3"/>
  <c r="K29" i="3"/>
  <c r="J73" i="6"/>
  <c r="J70" i="6"/>
  <c r="N94" i="3"/>
  <c r="N36" i="3"/>
  <c r="N32" i="3"/>
  <c r="N58" i="3"/>
  <c r="N111" i="3"/>
  <c r="N68" i="3"/>
  <c r="N38" i="3"/>
  <c r="N67" i="3"/>
  <c r="N48" i="3"/>
  <c r="N113" i="3"/>
  <c r="N66" i="3"/>
  <c r="N47" i="3"/>
  <c r="N65" i="3"/>
  <c r="N46" i="3"/>
  <c r="N117" i="3"/>
  <c r="N63" i="3"/>
  <c r="N95" i="3"/>
  <c r="N56" i="3"/>
  <c r="N57" i="3"/>
  <c r="N28" i="3"/>
  <c r="N59" i="3"/>
  <c r="N115" i="3"/>
  <c r="N89" i="3"/>
  <c r="N93" i="3"/>
  <c r="N119" i="3"/>
  <c r="N45" i="3"/>
  <c r="N43" i="3"/>
  <c r="N92" i="3"/>
  <c r="N90" i="3"/>
  <c r="N64" i="3"/>
  <c r="N91" i="3"/>
  <c r="N108" i="3"/>
  <c r="N44" i="3"/>
  <c r="N110" i="3"/>
  <c r="N109" i="3"/>
  <c r="J72" i="6"/>
  <c r="K17" i="3"/>
  <c r="K26" i="3"/>
  <c r="K22" i="3"/>
  <c r="N16" i="3"/>
  <c r="N25" i="3"/>
  <c r="N20" i="3"/>
  <c r="N15" i="3"/>
  <c r="M86" i="6" l="1"/>
  <c r="L86" i="6"/>
  <c r="L88" i="6"/>
  <c r="L81" i="6"/>
  <c r="K86" i="6"/>
  <c r="K88" i="6"/>
  <c r="K81" i="6"/>
  <c r="Q81" i="6"/>
  <c r="J81" i="6"/>
  <c r="O86" i="6"/>
  <c r="O81" i="6"/>
  <c r="J86" i="6"/>
  <c r="Q86" i="6"/>
  <c r="H81" i="6"/>
  <c r="P86" i="6"/>
  <c r="H86" i="6"/>
  <c r="P81" i="6"/>
  <c r="N86" i="6"/>
  <c r="N81" i="6"/>
  <c r="G86" i="6"/>
  <c r="G81" i="6"/>
  <c r="F88" i="6"/>
  <c r="T32" i="2"/>
  <c r="F81" i="6"/>
  <c r="T9" i="1"/>
  <c r="T85" i="2"/>
  <c r="E74" i="6"/>
  <c r="O130" i="3"/>
  <c r="O129" i="3"/>
  <c r="O126" i="3"/>
  <c r="O125" i="3"/>
  <c r="O124" i="3"/>
  <c r="O158" i="3"/>
  <c r="O123" i="3"/>
  <c r="O122" i="3"/>
  <c r="O143" i="3"/>
  <c r="O120" i="3"/>
  <c r="O127" i="3"/>
  <c r="O121" i="3"/>
  <c r="O144" i="3"/>
  <c r="O132" i="3"/>
  <c r="O128" i="3"/>
  <c r="O137" i="3"/>
  <c r="O148" i="3"/>
  <c r="O147" i="3"/>
  <c r="O145" i="3"/>
  <c r="N29" i="3"/>
  <c r="M70" i="6"/>
  <c r="M72" i="6"/>
  <c r="O32" i="3"/>
  <c r="O111" i="3"/>
  <c r="O68" i="3"/>
  <c r="O38" i="3"/>
  <c r="O67" i="3"/>
  <c r="O48" i="3"/>
  <c r="O57" i="3"/>
  <c r="O113" i="3"/>
  <c r="O66" i="3"/>
  <c r="O47" i="3"/>
  <c r="O65" i="3"/>
  <c r="O46" i="3"/>
  <c r="O117" i="3"/>
  <c r="O63" i="3"/>
  <c r="O95" i="3"/>
  <c r="O94" i="3"/>
  <c r="O36" i="3"/>
  <c r="O59" i="3"/>
  <c r="O58" i="3"/>
  <c r="O56" i="3"/>
  <c r="O28" i="3"/>
  <c r="O115" i="3"/>
  <c r="O43" i="3"/>
  <c r="O119" i="3"/>
  <c r="O90" i="3"/>
  <c r="O93" i="3"/>
  <c r="O89" i="3"/>
  <c r="O45" i="3"/>
  <c r="O44" i="3"/>
  <c r="O92" i="3"/>
  <c r="O91" i="3"/>
  <c r="O64" i="3"/>
  <c r="O110" i="3"/>
  <c r="O108" i="3"/>
  <c r="O109" i="3"/>
  <c r="M73" i="6"/>
  <c r="N26" i="3"/>
  <c r="N17" i="3"/>
  <c r="O16" i="3"/>
  <c r="O25" i="3"/>
  <c r="O20" i="3"/>
  <c r="O15" i="3"/>
  <c r="N22" i="3"/>
  <c r="Y74" i="6" l="1"/>
  <c r="L74" i="7"/>
  <c r="M20" i="4" s="1"/>
  <c r="M21" i="4" s="1"/>
  <c r="K74" i="7"/>
  <c r="L20" i="4" s="1"/>
  <c r="L21" i="4" s="1"/>
  <c r="E86" i="6"/>
  <c r="E81" i="6"/>
  <c r="E88" i="6"/>
  <c r="P74" i="7"/>
  <c r="O74" i="7"/>
  <c r="I74" i="7"/>
  <c r="M74" i="7"/>
  <c r="N74" i="7"/>
  <c r="F74" i="7"/>
  <c r="Q74" i="7"/>
  <c r="J74" i="7"/>
  <c r="H74" i="7"/>
  <c r="G74" i="7"/>
  <c r="P129" i="3"/>
  <c r="P126" i="3"/>
  <c r="P125" i="3"/>
  <c r="P124" i="3"/>
  <c r="P158" i="3"/>
  <c r="P123" i="3"/>
  <c r="P122" i="3"/>
  <c r="P143" i="3"/>
  <c r="P130" i="3"/>
  <c r="P121" i="3"/>
  <c r="P120" i="3"/>
  <c r="P127" i="3"/>
  <c r="P148" i="3"/>
  <c r="P147" i="3"/>
  <c r="P145" i="3"/>
  <c r="P128" i="3"/>
  <c r="P144" i="3"/>
  <c r="P132" i="3"/>
  <c r="P137" i="3"/>
  <c r="N72" i="6"/>
  <c r="N70" i="6"/>
  <c r="O29" i="3"/>
  <c r="P111" i="3"/>
  <c r="P68" i="3"/>
  <c r="P38" i="3"/>
  <c r="P67" i="3"/>
  <c r="P48" i="3"/>
  <c r="P113" i="3"/>
  <c r="P66" i="3"/>
  <c r="P47" i="3"/>
  <c r="P65" i="3"/>
  <c r="P46" i="3"/>
  <c r="P117" i="3"/>
  <c r="P63" i="3"/>
  <c r="P95" i="3"/>
  <c r="P94" i="3"/>
  <c r="P36" i="3"/>
  <c r="P32" i="3"/>
  <c r="P57" i="3"/>
  <c r="P115" i="3"/>
  <c r="P59" i="3"/>
  <c r="P58" i="3"/>
  <c r="P56" i="3"/>
  <c r="P28" i="3"/>
  <c r="P45" i="3"/>
  <c r="P92" i="3"/>
  <c r="P43" i="3"/>
  <c r="P90" i="3"/>
  <c r="P89" i="3"/>
  <c r="P119" i="3"/>
  <c r="P93" i="3"/>
  <c r="P64" i="3"/>
  <c r="P109" i="3"/>
  <c r="P108" i="3"/>
  <c r="P110" i="3"/>
  <c r="P44" i="3"/>
  <c r="P91" i="3"/>
  <c r="N73" i="6"/>
  <c r="O22" i="3"/>
  <c r="O26" i="3"/>
  <c r="O17" i="3"/>
  <c r="P16" i="3"/>
  <c r="P25" i="3"/>
  <c r="P20" i="3"/>
  <c r="P15" i="3"/>
  <c r="M136" i="3" l="1"/>
  <c r="M134" i="3"/>
  <c r="L136" i="3"/>
  <c r="L134" i="3"/>
  <c r="M50" i="5"/>
  <c r="M51" i="5"/>
  <c r="L51" i="5"/>
  <c r="L50" i="5"/>
  <c r="L150" i="2"/>
  <c r="L133" i="2"/>
  <c r="L144" i="2"/>
  <c r="L147" i="2"/>
  <c r="M150" i="2"/>
  <c r="M133" i="2"/>
  <c r="M144" i="2"/>
  <c r="M147" i="2"/>
  <c r="K150" i="2"/>
  <c r="K133" i="2"/>
  <c r="K147" i="2"/>
  <c r="K144" i="2"/>
  <c r="L14" i="2"/>
  <c r="L77" i="2"/>
  <c r="M14" i="2"/>
  <c r="M77" i="2"/>
  <c r="F88" i="7"/>
  <c r="G141" i="3" s="1"/>
  <c r="L88" i="7"/>
  <c r="M16" i="4" s="1"/>
  <c r="M17" i="4" s="1"/>
  <c r="K88" i="7"/>
  <c r="L16" i="4" s="1"/>
  <c r="L17" i="4" s="1"/>
  <c r="Y81" i="6"/>
  <c r="K81" i="7"/>
  <c r="L35" i="4" s="1"/>
  <c r="L37" i="4" s="1"/>
  <c r="L39" i="4" s="1"/>
  <c r="L81" i="7"/>
  <c r="M35" i="4" s="1"/>
  <c r="M37" i="4" s="1"/>
  <c r="M39" i="4" s="1"/>
  <c r="M86" i="7"/>
  <c r="L86" i="7"/>
  <c r="M146" i="3" s="1"/>
  <c r="K86" i="7"/>
  <c r="L146" i="3" s="1"/>
  <c r="P134" i="3"/>
  <c r="P86" i="7"/>
  <c r="J81" i="7"/>
  <c r="K137" i="2" s="1"/>
  <c r="I86" i="7"/>
  <c r="J146" i="3" s="1"/>
  <c r="Q86" i="7"/>
  <c r="Y86" i="6"/>
  <c r="J86" i="7"/>
  <c r="K146" i="3" s="1"/>
  <c r="G86" i="7"/>
  <c r="H146" i="3" s="1"/>
  <c r="G81" i="7"/>
  <c r="H150" i="3" s="1"/>
  <c r="I81" i="7"/>
  <c r="J140" i="3" s="1"/>
  <c r="Q81" i="7"/>
  <c r="P81" i="7"/>
  <c r="F81" i="7"/>
  <c r="G149" i="3" s="1"/>
  <c r="O81" i="7"/>
  <c r="M81" i="7"/>
  <c r="M36" i="5" s="1"/>
  <c r="O86" i="7"/>
  <c r="N81" i="7"/>
  <c r="H81" i="7"/>
  <c r="I140" i="3" s="1"/>
  <c r="F86" i="7"/>
  <c r="G146" i="3" s="1"/>
  <c r="N86" i="7"/>
  <c r="H86" i="7"/>
  <c r="I146" i="3" s="1"/>
  <c r="G34" i="3"/>
  <c r="G39" i="3" s="1"/>
  <c r="F78" i="6" s="1"/>
  <c r="Y88" i="6"/>
  <c r="P88" i="7"/>
  <c r="Q88" i="7"/>
  <c r="H88" i="7"/>
  <c r="I141" i="3" s="1"/>
  <c r="N88" i="7"/>
  <c r="G88" i="7"/>
  <c r="H141" i="3" s="1"/>
  <c r="O88" i="7"/>
  <c r="J88" i="7"/>
  <c r="I88" i="7"/>
  <c r="J141" i="3" s="1"/>
  <c r="M88" i="7"/>
  <c r="N141" i="3" s="1"/>
  <c r="P136" i="3"/>
  <c r="K77" i="2"/>
  <c r="K14" i="2"/>
  <c r="K51" i="5"/>
  <c r="K50" i="5"/>
  <c r="K20" i="4"/>
  <c r="K21" i="4" s="1"/>
  <c r="K136" i="3"/>
  <c r="K134" i="3"/>
  <c r="G136" i="3"/>
  <c r="G51" i="5"/>
  <c r="E74" i="7"/>
  <c r="G50" i="5"/>
  <c r="G20" i="4"/>
  <c r="G14" i="2"/>
  <c r="G147" i="2"/>
  <c r="G150" i="2"/>
  <c r="G77" i="2"/>
  <c r="G133" i="2"/>
  <c r="G144" i="2"/>
  <c r="G134" i="3"/>
  <c r="G142" i="3"/>
  <c r="T142" i="3" s="1"/>
  <c r="O77" i="2"/>
  <c r="O150" i="2"/>
  <c r="O133" i="2"/>
  <c r="O144" i="2"/>
  <c r="O51" i="5"/>
  <c r="O147" i="2"/>
  <c r="O14" i="2"/>
  <c r="O50" i="5"/>
  <c r="O20" i="4"/>
  <c r="O21" i="4" s="1"/>
  <c r="O136" i="3"/>
  <c r="O134" i="3"/>
  <c r="N20" i="4"/>
  <c r="N21" i="4" s="1"/>
  <c r="N77" i="2"/>
  <c r="N51" i="5"/>
  <c r="N147" i="2"/>
  <c r="N50" i="5"/>
  <c r="N150" i="2"/>
  <c r="N133" i="2"/>
  <c r="N144" i="2"/>
  <c r="N14" i="2"/>
  <c r="N136" i="3"/>
  <c r="N134" i="3"/>
  <c r="J133" i="2"/>
  <c r="J77" i="2"/>
  <c r="J14" i="2"/>
  <c r="J144" i="2"/>
  <c r="J147" i="2"/>
  <c r="J150" i="2"/>
  <c r="J20" i="4"/>
  <c r="J21" i="4" s="1"/>
  <c r="J134" i="3"/>
  <c r="J51" i="5"/>
  <c r="J50" i="5"/>
  <c r="J136" i="3"/>
  <c r="H136" i="3"/>
  <c r="H150" i="2"/>
  <c r="H14" i="2"/>
  <c r="H133" i="2"/>
  <c r="H20" i="4"/>
  <c r="H21" i="4" s="1"/>
  <c r="H144" i="2"/>
  <c r="H77" i="2"/>
  <c r="H134" i="3"/>
  <c r="H147" i="2"/>
  <c r="H51" i="5"/>
  <c r="H50" i="5"/>
  <c r="P51" i="5"/>
  <c r="P20" i="4"/>
  <c r="P21" i="4" s="1"/>
  <c r="P50" i="5"/>
  <c r="P133" i="2"/>
  <c r="P150" i="2"/>
  <c r="P14" i="2"/>
  <c r="P147" i="2"/>
  <c r="P77" i="2"/>
  <c r="P144" i="2"/>
  <c r="Q144" i="2"/>
  <c r="Q147" i="2"/>
  <c r="Q150" i="2"/>
  <c r="Q14" i="2"/>
  <c r="Q20" i="4"/>
  <c r="Q21" i="4" s="1"/>
  <c r="Q77" i="2"/>
  <c r="Q133" i="2"/>
  <c r="Q51" i="5"/>
  <c r="Q50" i="5"/>
  <c r="I51" i="5"/>
  <c r="I134" i="3"/>
  <c r="I77" i="2"/>
  <c r="I14" i="2"/>
  <c r="I133" i="2"/>
  <c r="I144" i="2"/>
  <c r="I147" i="2"/>
  <c r="I50" i="5"/>
  <c r="I136" i="3"/>
  <c r="I150" i="2"/>
  <c r="I20" i="4"/>
  <c r="I21" i="4" s="1"/>
  <c r="R77" i="2"/>
  <c r="R14" i="2"/>
  <c r="R133" i="2"/>
  <c r="R144" i="2"/>
  <c r="R147" i="2"/>
  <c r="R150" i="2"/>
  <c r="R20" i="4"/>
  <c r="R21" i="4" s="1"/>
  <c r="R51" i="5"/>
  <c r="R50" i="5"/>
  <c r="Q126" i="3"/>
  <c r="Q125" i="3"/>
  <c r="Q124" i="3"/>
  <c r="Q158" i="3"/>
  <c r="Q123" i="3"/>
  <c r="Q122" i="3"/>
  <c r="Q143" i="3"/>
  <c r="Q130" i="3"/>
  <c r="Q129" i="3"/>
  <c r="Q127" i="3"/>
  <c r="Q121" i="3"/>
  <c r="Q120" i="3"/>
  <c r="Q128" i="3"/>
  <c r="Q144" i="3"/>
  <c r="Q132" i="3"/>
  <c r="Q137" i="3"/>
  <c r="Q148" i="3"/>
  <c r="Q134" i="3"/>
  <c r="Q136" i="3"/>
  <c r="Q147" i="3"/>
  <c r="Q145" i="3"/>
  <c r="O73" i="6"/>
  <c r="P29" i="3"/>
  <c r="O70" i="6"/>
  <c r="Q67" i="3"/>
  <c r="Q48" i="3"/>
  <c r="Q34" i="3"/>
  <c r="Q113" i="3"/>
  <c r="Q66" i="3"/>
  <c r="Q47" i="3"/>
  <c r="Q65" i="3"/>
  <c r="Q46" i="3"/>
  <c r="Q117" i="3"/>
  <c r="Q63" i="3"/>
  <c r="Q95" i="3"/>
  <c r="Q94" i="3"/>
  <c r="Q36" i="3"/>
  <c r="Q32" i="3"/>
  <c r="Q28" i="3"/>
  <c r="Q111" i="3"/>
  <c r="Q68" i="3"/>
  <c r="Q38" i="3"/>
  <c r="Q58" i="3"/>
  <c r="Q59" i="3"/>
  <c r="Q57" i="3"/>
  <c r="Q115" i="3"/>
  <c r="Q56" i="3"/>
  <c r="Q89" i="3"/>
  <c r="Q43" i="3"/>
  <c r="Q90" i="3"/>
  <c r="Q93" i="3"/>
  <c r="Q91" i="3"/>
  <c r="Q119" i="3"/>
  <c r="Q45" i="3"/>
  <c r="Q92" i="3"/>
  <c r="Q64" i="3"/>
  <c r="Q44" i="3"/>
  <c r="Q108" i="3"/>
  <c r="Q110" i="3"/>
  <c r="Q109" i="3"/>
  <c r="O72" i="6"/>
  <c r="P26" i="3"/>
  <c r="P17" i="3"/>
  <c r="Q16" i="3"/>
  <c r="Q25" i="3"/>
  <c r="Q20" i="3"/>
  <c r="Q15" i="3"/>
  <c r="P22" i="3"/>
  <c r="K85" i="6" l="1"/>
  <c r="L85" i="6"/>
  <c r="M150" i="3"/>
  <c r="M149" i="3"/>
  <c r="L140" i="3"/>
  <c r="L150" i="3"/>
  <c r="L149" i="3"/>
  <c r="L36" i="5"/>
  <c r="M140" i="3"/>
  <c r="L133" i="3"/>
  <c r="L141" i="3"/>
  <c r="M133" i="3"/>
  <c r="M141" i="3"/>
  <c r="G149" i="2"/>
  <c r="G133" i="3"/>
  <c r="G16" i="4"/>
  <c r="G17" i="4" s="1"/>
  <c r="O146" i="3"/>
  <c r="G143" i="2"/>
  <c r="G139" i="2"/>
  <c r="P146" i="3"/>
  <c r="N36" i="5"/>
  <c r="N146" i="3"/>
  <c r="G146" i="2"/>
  <c r="G136" i="2"/>
  <c r="G132" i="2"/>
  <c r="O35" i="4"/>
  <c r="O37" i="4" s="1"/>
  <c r="O39" i="4" s="1"/>
  <c r="K36" i="5"/>
  <c r="M63" i="2"/>
  <c r="M137" i="2"/>
  <c r="L63" i="2"/>
  <c r="L137" i="2"/>
  <c r="L146" i="2"/>
  <c r="L149" i="2"/>
  <c r="L136" i="2"/>
  <c r="L132" i="2"/>
  <c r="L143" i="2"/>
  <c r="L139" i="2"/>
  <c r="M146" i="2"/>
  <c r="M149" i="2"/>
  <c r="M132" i="2"/>
  <c r="M136" i="2"/>
  <c r="M143" i="2"/>
  <c r="M139" i="2"/>
  <c r="K143" i="2"/>
  <c r="K149" i="2"/>
  <c r="K132" i="2"/>
  <c r="K139" i="2"/>
  <c r="K146" i="2"/>
  <c r="K136" i="2"/>
  <c r="K141" i="3"/>
  <c r="O141" i="3"/>
  <c r="R36" i="5"/>
  <c r="Q149" i="2"/>
  <c r="P141" i="3"/>
  <c r="P150" i="3"/>
  <c r="Q35" i="4"/>
  <c r="Q37" i="4" s="1"/>
  <c r="Q39" i="4" s="1"/>
  <c r="Q146" i="3"/>
  <c r="R149" i="2"/>
  <c r="Q141" i="3"/>
  <c r="K140" i="3"/>
  <c r="K63" i="2"/>
  <c r="I146" i="2"/>
  <c r="I149" i="2"/>
  <c r="P146" i="2"/>
  <c r="P149" i="2"/>
  <c r="K149" i="3"/>
  <c r="K35" i="4"/>
  <c r="K37" i="4" s="1"/>
  <c r="K39" i="4" s="1"/>
  <c r="N146" i="2"/>
  <c r="N149" i="2"/>
  <c r="H146" i="2"/>
  <c r="H149" i="2"/>
  <c r="K150" i="3"/>
  <c r="J146" i="2"/>
  <c r="J149" i="2"/>
  <c r="O146" i="2"/>
  <c r="O149" i="2"/>
  <c r="H137" i="2"/>
  <c r="R143" i="2"/>
  <c r="R146" i="2"/>
  <c r="H63" i="2"/>
  <c r="Q143" i="2"/>
  <c r="Q146" i="2"/>
  <c r="P139" i="2"/>
  <c r="P143" i="2"/>
  <c r="J139" i="2"/>
  <c r="J143" i="2"/>
  <c r="O139" i="2"/>
  <c r="O143" i="2"/>
  <c r="N139" i="2"/>
  <c r="N143" i="2"/>
  <c r="H139" i="2"/>
  <c r="H143" i="2"/>
  <c r="I139" i="2"/>
  <c r="I143" i="2"/>
  <c r="R136" i="2"/>
  <c r="R139" i="2"/>
  <c r="Q136" i="2"/>
  <c r="Q139" i="2"/>
  <c r="J132" i="2"/>
  <c r="J136" i="2"/>
  <c r="O132" i="2"/>
  <c r="O136" i="2"/>
  <c r="H149" i="3"/>
  <c r="I132" i="2"/>
  <c r="I136" i="2"/>
  <c r="H35" i="4"/>
  <c r="H37" i="4" s="1"/>
  <c r="H39" i="4" s="1"/>
  <c r="P132" i="2"/>
  <c r="P136" i="2"/>
  <c r="H140" i="3"/>
  <c r="H36" i="5"/>
  <c r="N132" i="2"/>
  <c r="N136" i="2"/>
  <c r="H132" i="2"/>
  <c r="H136" i="2"/>
  <c r="R137" i="2"/>
  <c r="Q16" i="4"/>
  <c r="Q17" i="4" s="1"/>
  <c r="P85" i="6" s="1"/>
  <c r="Q132" i="2"/>
  <c r="R16" i="4"/>
  <c r="R17" i="4" s="1"/>
  <c r="Q85" i="6" s="1"/>
  <c r="R132" i="2"/>
  <c r="Q133" i="3"/>
  <c r="I36" i="5"/>
  <c r="P63" i="2"/>
  <c r="R63" i="2"/>
  <c r="R35" i="4"/>
  <c r="R37" i="4" s="1"/>
  <c r="R39" i="4" s="1"/>
  <c r="N149" i="3"/>
  <c r="N140" i="3"/>
  <c r="I137" i="2"/>
  <c r="J35" i="4"/>
  <c r="J37" i="4" s="1"/>
  <c r="J39" i="4" s="1"/>
  <c r="N150" i="3"/>
  <c r="N63" i="2"/>
  <c r="O140" i="3"/>
  <c r="O36" i="5"/>
  <c r="Q149" i="3"/>
  <c r="Q63" i="2"/>
  <c r="Q150" i="3"/>
  <c r="Q137" i="2"/>
  <c r="Q140" i="3"/>
  <c r="Q36" i="5"/>
  <c r="O63" i="2"/>
  <c r="O137" i="2"/>
  <c r="G137" i="2"/>
  <c r="G150" i="3"/>
  <c r="G35" i="4"/>
  <c r="G37" i="4" s="1"/>
  <c r="G39" i="4" s="1"/>
  <c r="G140" i="3"/>
  <c r="O150" i="3"/>
  <c r="O149" i="3"/>
  <c r="G36" i="5"/>
  <c r="G63" i="2"/>
  <c r="I150" i="3"/>
  <c r="I63" i="2"/>
  <c r="P35" i="4"/>
  <c r="P37" i="4" s="1"/>
  <c r="P39" i="4" s="1"/>
  <c r="J137" i="2"/>
  <c r="I149" i="3"/>
  <c r="P140" i="3"/>
  <c r="P137" i="2"/>
  <c r="J150" i="3"/>
  <c r="E81" i="7"/>
  <c r="I35" i="4"/>
  <c r="I37" i="4" s="1"/>
  <c r="I39" i="4" s="1"/>
  <c r="P36" i="5"/>
  <c r="P149" i="3"/>
  <c r="J63" i="2"/>
  <c r="J36" i="5"/>
  <c r="J149" i="3"/>
  <c r="N137" i="2"/>
  <c r="N35" i="4"/>
  <c r="N37" i="4" s="1"/>
  <c r="N39" i="4" s="1"/>
  <c r="E86" i="7"/>
  <c r="E88" i="7"/>
  <c r="K16" i="4"/>
  <c r="K17" i="4" s="1"/>
  <c r="J85" i="6" s="1"/>
  <c r="K133" i="3"/>
  <c r="K34" i="3"/>
  <c r="K39" i="3" s="1"/>
  <c r="J78" i="6" s="1"/>
  <c r="I34" i="3"/>
  <c r="I39" i="3" s="1"/>
  <c r="H78" i="6" s="1"/>
  <c r="I133" i="3"/>
  <c r="I16" i="4"/>
  <c r="I17" i="4" s="1"/>
  <c r="H85" i="6" s="1"/>
  <c r="P16" i="4"/>
  <c r="P17" i="4" s="1"/>
  <c r="O85" i="6" s="1"/>
  <c r="P34" i="3"/>
  <c r="P39" i="3" s="1"/>
  <c r="O78" i="6" s="1"/>
  <c r="P133" i="3"/>
  <c r="N16" i="4"/>
  <c r="N17" i="4" s="1"/>
  <c r="M85" i="6" s="1"/>
  <c r="N34" i="3"/>
  <c r="N39" i="3" s="1"/>
  <c r="M78" i="6" s="1"/>
  <c r="N133" i="3"/>
  <c r="H34" i="3"/>
  <c r="H39" i="3" s="1"/>
  <c r="G78" i="6" s="1"/>
  <c r="H16" i="4"/>
  <c r="H17" i="4" s="1"/>
  <c r="H133" i="3"/>
  <c r="J16" i="4"/>
  <c r="J17" i="4" s="1"/>
  <c r="I85" i="6" s="1"/>
  <c r="J34" i="3"/>
  <c r="J39" i="3" s="1"/>
  <c r="I78" i="6" s="1"/>
  <c r="J133" i="3"/>
  <c r="O16" i="4"/>
  <c r="O17" i="4" s="1"/>
  <c r="N85" i="6" s="1"/>
  <c r="O34" i="3"/>
  <c r="O39" i="3" s="1"/>
  <c r="N78" i="6" s="1"/>
  <c r="O133" i="3"/>
  <c r="T133" i="2"/>
  <c r="T77" i="2"/>
  <c r="T147" i="2"/>
  <c r="T14" i="2"/>
  <c r="G21" i="4"/>
  <c r="T21" i="4" s="1"/>
  <c r="T20" i="4"/>
  <c r="T150" i="2"/>
  <c r="T144" i="2"/>
  <c r="T50" i="5"/>
  <c r="T51" i="5"/>
  <c r="R125" i="3"/>
  <c r="T125" i="3" s="1"/>
  <c r="R124" i="3"/>
  <c r="T124" i="3" s="1"/>
  <c r="R158" i="3"/>
  <c r="T158" i="3" s="1"/>
  <c r="R123" i="3"/>
  <c r="T123" i="3" s="1"/>
  <c r="R141" i="3"/>
  <c r="R122" i="3"/>
  <c r="T122" i="3" s="1"/>
  <c r="R143" i="3"/>
  <c r="T143" i="3" s="1"/>
  <c r="R130" i="3"/>
  <c r="T130" i="3" s="1"/>
  <c r="R129" i="3"/>
  <c r="T129" i="3" s="1"/>
  <c r="R126" i="3"/>
  <c r="T126" i="3" s="1"/>
  <c r="R121" i="3"/>
  <c r="T121" i="3" s="1"/>
  <c r="R120" i="3"/>
  <c r="T120" i="3" s="1"/>
  <c r="R127" i="3"/>
  <c r="T127" i="3" s="1"/>
  <c r="R132" i="3"/>
  <c r="T132" i="3" s="1"/>
  <c r="R137" i="3"/>
  <c r="T137" i="3" s="1"/>
  <c r="R148" i="3"/>
  <c r="T148" i="3" s="1"/>
  <c r="R147" i="3"/>
  <c r="T147" i="3" s="1"/>
  <c r="R128" i="3"/>
  <c r="T128" i="3" s="1"/>
  <c r="R134" i="3"/>
  <c r="T134" i="3" s="1"/>
  <c r="R136" i="3"/>
  <c r="T136" i="3" s="1"/>
  <c r="R145" i="3"/>
  <c r="T145" i="3" s="1"/>
  <c r="R133" i="3"/>
  <c r="R144" i="3"/>
  <c r="T144" i="3" s="1"/>
  <c r="R140" i="3"/>
  <c r="R146" i="3"/>
  <c r="R150" i="3"/>
  <c r="R149" i="3"/>
  <c r="P70" i="6"/>
  <c r="Q29" i="3"/>
  <c r="R113" i="3"/>
  <c r="T113" i="3" s="1"/>
  <c r="R66" i="3"/>
  <c r="T66" i="3" s="1"/>
  <c r="R47" i="3"/>
  <c r="T47" i="3" s="1"/>
  <c r="R65" i="3"/>
  <c r="T65" i="3" s="1"/>
  <c r="R46" i="3"/>
  <c r="T46" i="3" s="1"/>
  <c r="R117" i="3"/>
  <c r="T117" i="3" s="1"/>
  <c r="R63" i="3"/>
  <c r="T63" i="3" s="1"/>
  <c r="R95" i="3"/>
  <c r="T95" i="3" s="1"/>
  <c r="R94" i="3"/>
  <c r="T94" i="3" s="1"/>
  <c r="R36" i="3"/>
  <c r="T36" i="3" s="1"/>
  <c r="R32" i="3"/>
  <c r="T32" i="3" s="1"/>
  <c r="R111" i="3"/>
  <c r="T111" i="3" s="1"/>
  <c r="R68" i="3"/>
  <c r="T68" i="3" s="1"/>
  <c r="R38" i="3"/>
  <c r="T38" i="3" s="1"/>
  <c r="R67" i="3"/>
  <c r="T67" i="3" s="1"/>
  <c r="R48" i="3"/>
  <c r="T48" i="3" s="1"/>
  <c r="R34" i="3"/>
  <c r="R59" i="3"/>
  <c r="T59" i="3" s="1"/>
  <c r="R115" i="3"/>
  <c r="T115" i="3" s="1"/>
  <c r="R58" i="3"/>
  <c r="T58" i="3" s="1"/>
  <c r="R57" i="3"/>
  <c r="T57" i="3" s="1"/>
  <c r="R56" i="3"/>
  <c r="T56" i="3" s="1"/>
  <c r="R28" i="3"/>
  <c r="T28" i="3" s="1"/>
  <c r="R45" i="3"/>
  <c r="T45" i="3" s="1"/>
  <c r="R43" i="3"/>
  <c r="T43" i="3" s="1"/>
  <c r="R93" i="3"/>
  <c r="T93" i="3" s="1"/>
  <c r="R92" i="3"/>
  <c r="T92" i="3" s="1"/>
  <c r="R90" i="3"/>
  <c r="T90" i="3" s="1"/>
  <c r="R119" i="3"/>
  <c r="T119" i="3" s="1"/>
  <c r="R89" i="3"/>
  <c r="T89" i="3" s="1"/>
  <c r="R109" i="3"/>
  <c r="T109" i="3" s="1"/>
  <c r="R91" i="3"/>
  <c r="T91" i="3" s="1"/>
  <c r="R110" i="3"/>
  <c r="T110" i="3" s="1"/>
  <c r="R108" i="3"/>
  <c r="T108" i="3" s="1"/>
  <c r="R64" i="3"/>
  <c r="T64" i="3" s="1"/>
  <c r="R44" i="3"/>
  <c r="T44" i="3" s="1"/>
  <c r="P73" i="6"/>
  <c r="P72" i="6"/>
  <c r="Q39" i="3"/>
  <c r="Q22" i="3"/>
  <c r="Q26" i="3"/>
  <c r="Q17" i="3"/>
  <c r="R25" i="3"/>
  <c r="T25" i="3" s="1"/>
  <c r="R20" i="3"/>
  <c r="T20" i="3" s="1"/>
  <c r="R15" i="3"/>
  <c r="T15" i="3" s="1"/>
  <c r="R16" i="3"/>
  <c r="T16" i="3" s="1"/>
  <c r="T146" i="3" l="1"/>
  <c r="T141" i="3"/>
  <c r="T149" i="2"/>
  <c r="T146" i="2"/>
  <c r="T143" i="2"/>
  <c r="T136" i="2"/>
  <c r="T139" i="2"/>
  <c r="T132" i="2"/>
  <c r="T37" i="4"/>
  <c r="T39" i="4"/>
  <c r="T63" i="2"/>
  <c r="T140" i="3"/>
  <c r="T149" i="3"/>
  <c r="T137" i="2"/>
  <c r="T36" i="5"/>
  <c r="T150" i="3"/>
  <c r="T34" i="3"/>
  <c r="T35" i="4"/>
  <c r="T16" i="4"/>
  <c r="T133" i="3"/>
  <c r="T17" i="4"/>
  <c r="G85" i="6"/>
  <c r="P78" i="6"/>
  <c r="F85" i="6"/>
  <c r="R29" i="3"/>
  <c r="T29" i="3" s="1"/>
  <c r="R39" i="3"/>
  <c r="T39" i="3" s="1"/>
  <c r="Q73" i="6"/>
  <c r="Q72" i="6"/>
  <c r="E72" i="6" s="1"/>
  <c r="Q70" i="6"/>
  <c r="E70" i="6" s="1"/>
  <c r="R26" i="3"/>
  <c r="T26" i="3" s="1"/>
  <c r="R17" i="3"/>
  <c r="R22" i="3"/>
  <c r="T22" i="3" s="1"/>
  <c r="Y70" i="6" l="1"/>
  <c r="L70" i="7"/>
  <c r="M55" i="3" s="1"/>
  <c r="M60" i="3" s="1"/>
  <c r="L69" i="6" s="1"/>
  <c r="K70" i="7"/>
  <c r="L55" i="3" s="1"/>
  <c r="L60" i="3" s="1"/>
  <c r="K69" i="6" s="1"/>
  <c r="Y72" i="6"/>
  <c r="L72" i="7"/>
  <c r="M96" i="3" s="1"/>
  <c r="M97" i="3" s="1"/>
  <c r="K72" i="7"/>
  <c r="L96" i="3" s="1"/>
  <c r="L97" i="3" s="1"/>
  <c r="E85" i="6"/>
  <c r="T17" i="3"/>
  <c r="Q78" i="6"/>
  <c r="E78" i="6" s="1"/>
  <c r="E73" i="6"/>
  <c r="P72" i="7"/>
  <c r="F70" i="7"/>
  <c r="G55" i="3" s="1"/>
  <c r="G70" i="7"/>
  <c r="H55" i="3" s="1"/>
  <c r="H60" i="3" s="1"/>
  <c r="G69" i="6" s="1"/>
  <c r="H70" i="7"/>
  <c r="I55" i="3" s="1"/>
  <c r="I60" i="3" s="1"/>
  <c r="H69" i="6" s="1"/>
  <c r="I70" i="7"/>
  <c r="J55" i="3" s="1"/>
  <c r="J60" i="3" s="1"/>
  <c r="I69" i="6" s="1"/>
  <c r="J70" i="7"/>
  <c r="K55" i="3" s="1"/>
  <c r="K60" i="3" s="1"/>
  <c r="J69" i="6" s="1"/>
  <c r="M70" i="7"/>
  <c r="N70" i="7"/>
  <c r="O55" i="3" s="1"/>
  <c r="O60" i="3" s="1"/>
  <c r="N69" i="6" s="1"/>
  <c r="O70" i="7"/>
  <c r="G72" i="7"/>
  <c r="H96" i="3" s="1"/>
  <c r="H97" i="3" s="1"/>
  <c r="I72" i="7"/>
  <c r="J96" i="3" s="1"/>
  <c r="J97" i="3" s="1"/>
  <c r="F72" i="7"/>
  <c r="G96" i="3" s="1"/>
  <c r="J72" i="7"/>
  <c r="K96" i="3" s="1"/>
  <c r="K97" i="3" s="1"/>
  <c r="H72" i="7"/>
  <c r="I96" i="3" s="1"/>
  <c r="I97" i="3" s="1"/>
  <c r="M72" i="7"/>
  <c r="N72" i="7"/>
  <c r="O72" i="7"/>
  <c r="P70" i="7"/>
  <c r="Q55" i="3" s="1"/>
  <c r="Q60" i="3" s="1"/>
  <c r="P69" i="6" s="1"/>
  <c r="Q72" i="7"/>
  <c r="R96" i="3" s="1"/>
  <c r="R97" i="3" s="1"/>
  <c r="Q70" i="7"/>
  <c r="R55" i="3" s="1"/>
  <c r="R60" i="3" s="1"/>
  <c r="Q69" i="6" s="1"/>
  <c r="O96" i="3" l="1"/>
  <c r="O97" i="3" s="1"/>
  <c r="P96" i="3"/>
  <c r="P97" i="3" s="1"/>
  <c r="P55" i="3"/>
  <c r="P60" i="3" s="1"/>
  <c r="O69" i="6" s="1"/>
  <c r="N55" i="3"/>
  <c r="N60" i="3" s="1"/>
  <c r="M69" i="6" s="1"/>
  <c r="N96" i="3"/>
  <c r="N97" i="3" s="1"/>
  <c r="Y85" i="6"/>
  <c r="K85" i="7"/>
  <c r="L85" i="7"/>
  <c r="Q96" i="3"/>
  <c r="Q97" i="3" s="1"/>
  <c r="Y73" i="6"/>
  <c r="L73" i="7"/>
  <c r="K73" i="7"/>
  <c r="L78" i="7"/>
  <c r="K78" i="7"/>
  <c r="J85" i="7"/>
  <c r="K66" i="2" s="1"/>
  <c r="N85" i="7"/>
  <c r="O66" i="2" s="1"/>
  <c r="G85" i="7"/>
  <c r="H65" i="2" s="1"/>
  <c r="H85" i="7"/>
  <c r="I66" i="2" s="1"/>
  <c r="Q85" i="7"/>
  <c r="M85" i="7"/>
  <c r="P85" i="7"/>
  <c r="Q64" i="2" s="1"/>
  <c r="I85" i="7"/>
  <c r="J66" i="2" s="1"/>
  <c r="O85" i="7"/>
  <c r="P65" i="2" s="1"/>
  <c r="F85" i="7"/>
  <c r="G64" i="2" s="1"/>
  <c r="I73" i="7"/>
  <c r="J42" i="3" s="1"/>
  <c r="Q73" i="7"/>
  <c r="M73" i="7"/>
  <c r="F73" i="7"/>
  <c r="G49" i="3" s="1"/>
  <c r="O73" i="7"/>
  <c r="N73" i="7"/>
  <c r="J73" i="7"/>
  <c r="K42" i="3" s="1"/>
  <c r="H73" i="7"/>
  <c r="I42" i="3" s="1"/>
  <c r="Y78" i="6"/>
  <c r="G73" i="7"/>
  <c r="H49" i="3" s="1"/>
  <c r="G60" i="3"/>
  <c r="G97" i="3"/>
  <c r="P73" i="7"/>
  <c r="E70" i="7"/>
  <c r="E72" i="7"/>
  <c r="L42" i="3" l="1"/>
  <c r="L49" i="3"/>
  <c r="M42" i="3"/>
  <c r="M49" i="3"/>
  <c r="H64" i="2"/>
  <c r="T55" i="3"/>
  <c r="I65" i="2"/>
  <c r="M66" i="2"/>
  <c r="M65" i="2"/>
  <c r="M64" i="2"/>
  <c r="L65" i="2"/>
  <c r="L64" i="2"/>
  <c r="L66" i="2"/>
  <c r="N49" i="3"/>
  <c r="T96" i="3"/>
  <c r="T97" i="3"/>
  <c r="P49" i="3"/>
  <c r="N66" i="2"/>
  <c r="R65" i="2"/>
  <c r="O42" i="3"/>
  <c r="R49" i="3"/>
  <c r="O64" i="2"/>
  <c r="R66" i="2"/>
  <c r="K65" i="2"/>
  <c r="K64" i="2"/>
  <c r="R64" i="2"/>
  <c r="O65" i="2"/>
  <c r="I64" i="2"/>
  <c r="H66" i="2"/>
  <c r="Q66" i="2"/>
  <c r="J65" i="2"/>
  <c r="Q65" i="2"/>
  <c r="N64" i="2"/>
  <c r="N65" i="2"/>
  <c r="P66" i="2"/>
  <c r="P64" i="2"/>
  <c r="J64" i="2"/>
  <c r="E85" i="7"/>
  <c r="G65" i="2"/>
  <c r="G66" i="2"/>
  <c r="J49" i="3"/>
  <c r="I71" i="6" s="1"/>
  <c r="K49" i="3"/>
  <c r="J71" i="6" s="1"/>
  <c r="N42" i="3"/>
  <c r="P42" i="3"/>
  <c r="R42" i="3"/>
  <c r="Q71" i="6" s="1"/>
  <c r="G42" i="3"/>
  <c r="F71" i="6" s="1"/>
  <c r="I49" i="3"/>
  <c r="H71" i="6" s="1"/>
  <c r="O49" i="3"/>
  <c r="H42" i="3"/>
  <c r="G71" i="6" s="1"/>
  <c r="E73" i="7"/>
  <c r="F78" i="7"/>
  <c r="G78" i="7"/>
  <c r="H78" i="7"/>
  <c r="I78" i="7"/>
  <c r="J78" i="7"/>
  <c r="M78" i="7"/>
  <c r="N78" i="7"/>
  <c r="O78" i="7"/>
  <c r="P78" i="7"/>
  <c r="Q78" i="7"/>
  <c r="F69" i="6"/>
  <c r="E69" i="6" s="1"/>
  <c r="T60" i="3"/>
  <c r="Q42" i="3"/>
  <c r="Q49" i="3"/>
  <c r="L71" i="6" l="1"/>
  <c r="K71" i="6"/>
  <c r="M71" i="6"/>
  <c r="O71" i="6"/>
  <c r="N71" i="6"/>
  <c r="J69" i="7"/>
  <c r="K24" i="4" s="1"/>
  <c r="K25" i="4" s="1"/>
  <c r="K31" i="4" s="1"/>
  <c r="K41" i="4" s="1"/>
  <c r="J84" i="6" s="1"/>
  <c r="L69" i="7"/>
  <c r="M24" i="4" s="1"/>
  <c r="M25" i="4" s="1"/>
  <c r="M31" i="4" s="1"/>
  <c r="M41" i="4" s="1"/>
  <c r="L84" i="6" s="1"/>
  <c r="K69" i="7"/>
  <c r="L24" i="4" s="1"/>
  <c r="L25" i="4" s="1"/>
  <c r="L31" i="4" s="1"/>
  <c r="L41" i="4" s="1"/>
  <c r="K84" i="6" s="1"/>
  <c r="T64" i="2"/>
  <c r="T65" i="2"/>
  <c r="T66" i="2"/>
  <c r="T49" i="3"/>
  <c r="T42" i="3"/>
  <c r="E78" i="7"/>
  <c r="I69" i="7"/>
  <c r="J24" i="4" s="1"/>
  <c r="J25" i="4" s="1"/>
  <c r="J31" i="4" s="1"/>
  <c r="J41" i="4" s="1"/>
  <c r="I84" i="6" s="1"/>
  <c r="M69" i="7"/>
  <c r="Y69" i="6"/>
  <c r="N69" i="7"/>
  <c r="O69" i="7"/>
  <c r="P69" i="7"/>
  <c r="F69" i="7"/>
  <c r="G24" i="4" s="1"/>
  <c r="G69" i="7"/>
  <c r="H24" i="4" s="1"/>
  <c r="H25" i="4" s="1"/>
  <c r="H31" i="4" s="1"/>
  <c r="H41" i="4" s="1"/>
  <c r="G84" i="6" s="1"/>
  <c r="Q69" i="7"/>
  <c r="H69" i="7"/>
  <c r="I24" i="4" s="1"/>
  <c r="I25" i="4" s="1"/>
  <c r="I31" i="4" s="1"/>
  <c r="I41" i="4" s="1"/>
  <c r="H84" i="6" s="1"/>
  <c r="P71" i="6"/>
  <c r="N24" i="4" l="1"/>
  <c r="N25" i="4" s="1"/>
  <c r="N31" i="4" s="1"/>
  <c r="N41" i="4" s="1"/>
  <c r="M84" i="6" s="1"/>
  <c r="E71" i="6"/>
  <c r="Y71" i="6" s="1"/>
  <c r="R24" i="4"/>
  <c r="R25" i="4" s="1"/>
  <c r="R31" i="4" s="1"/>
  <c r="R41" i="4" s="1"/>
  <c r="Q84" i="6" s="1"/>
  <c r="Q24" i="4"/>
  <c r="Q25" i="4" s="1"/>
  <c r="Q31" i="4" s="1"/>
  <c r="Q41" i="4" s="1"/>
  <c r="P84" i="6" s="1"/>
  <c r="O24" i="4"/>
  <c r="O25" i="4" s="1"/>
  <c r="O31" i="4" s="1"/>
  <c r="O41" i="4" s="1"/>
  <c r="N84" i="6" s="1"/>
  <c r="P24" i="4"/>
  <c r="P25" i="4" s="1"/>
  <c r="P31" i="4" s="1"/>
  <c r="P41" i="4" s="1"/>
  <c r="O84" i="6" s="1"/>
  <c r="E69" i="7"/>
  <c r="G25" i="4"/>
  <c r="K71" i="7" l="1"/>
  <c r="L71" i="7"/>
  <c r="T24" i="4"/>
  <c r="G31" i="4"/>
  <c r="T25" i="4"/>
  <c r="M51" i="3" l="1"/>
  <c r="M50" i="3"/>
  <c r="L51" i="3"/>
  <c r="L50" i="3"/>
  <c r="G41" i="4"/>
  <c r="T31" i="4"/>
  <c r="M52" i="3" l="1"/>
  <c r="L52" i="3"/>
  <c r="L68" i="6"/>
  <c r="L89" i="6"/>
  <c r="K89" i="6"/>
  <c r="K68" i="6"/>
  <c r="F84" i="6"/>
  <c r="T41" i="4"/>
  <c r="E84" i="6" l="1"/>
  <c r="G92" i="2"/>
  <c r="T92" i="2" s="1"/>
  <c r="F71" i="7"/>
  <c r="G50" i="3" s="1"/>
  <c r="G71" i="7"/>
  <c r="H50" i="3" s="1"/>
  <c r="H71" i="7"/>
  <c r="I51" i="3" s="1"/>
  <c r="I71" i="7"/>
  <c r="J50" i="3" s="1"/>
  <c r="J71" i="7"/>
  <c r="K51" i="3" s="1"/>
  <c r="M71" i="7"/>
  <c r="N50" i="3" s="1"/>
  <c r="N71" i="7"/>
  <c r="O50" i="3" s="1"/>
  <c r="O71" i="7"/>
  <c r="P71" i="7"/>
  <c r="Q71" i="7"/>
  <c r="R51" i="3" s="1"/>
  <c r="L84" i="7" l="1"/>
  <c r="M155" i="3" s="1"/>
  <c r="K84" i="7"/>
  <c r="L155" i="3" s="1"/>
  <c r="Q50" i="3"/>
  <c r="P51" i="3"/>
  <c r="Y84" i="6"/>
  <c r="G84" i="7"/>
  <c r="Q84" i="7"/>
  <c r="J84" i="7"/>
  <c r="K141" i="2" s="1"/>
  <c r="O84" i="7"/>
  <c r="H84" i="7"/>
  <c r="N84" i="7"/>
  <c r="P84" i="7"/>
  <c r="M84" i="7"/>
  <c r="I84" i="7"/>
  <c r="F84" i="7"/>
  <c r="I50" i="3"/>
  <c r="I52" i="3" s="1"/>
  <c r="O51" i="3"/>
  <c r="O52" i="3" s="1"/>
  <c r="H51" i="3"/>
  <c r="H52" i="3" s="1"/>
  <c r="N51" i="3"/>
  <c r="N52" i="3" s="1"/>
  <c r="M89" i="6" s="1"/>
  <c r="G51" i="3"/>
  <c r="R50" i="3"/>
  <c r="R52" i="3" s="1"/>
  <c r="P50" i="3"/>
  <c r="K50" i="3"/>
  <c r="K52" i="3" s="1"/>
  <c r="Q51" i="3"/>
  <c r="E71" i="7"/>
  <c r="J51" i="3"/>
  <c r="J52" i="3" s="1"/>
  <c r="L141" i="2" l="1"/>
  <c r="L79" i="3"/>
  <c r="L80" i="3"/>
  <c r="M141" i="2"/>
  <c r="M79" i="3"/>
  <c r="M80" i="3"/>
  <c r="P52" i="3"/>
  <c r="L69" i="2"/>
  <c r="L62" i="2"/>
  <c r="L61" i="2"/>
  <c r="L68" i="2"/>
  <c r="L60" i="2"/>
  <c r="L67" i="2"/>
  <c r="L59" i="2"/>
  <c r="M62" i="2"/>
  <c r="M69" i="2"/>
  <c r="M61" i="2"/>
  <c r="M68" i="2"/>
  <c r="M60" i="2"/>
  <c r="M67" i="2"/>
  <c r="M59" i="2"/>
  <c r="Q52" i="3"/>
  <c r="P89" i="6" s="1"/>
  <c r="I62" i="2"/>
  <c r="I155" i="3"/>
  <c r="I79" i="3"/>
  <c r="I67" i="2"/>
  <c r="I61" i="2"/>
  <c r="I80" i="3"/>
  <c r="I60" i="2"/>
  <c r="I59" i="2"/>
  <c r="I68" i="2"/>
  <c r="I141" i="2"/>
  <c r="I69" i="2"/>
  <c r="P61" i="2"/>
  <c r="P155" i="3"/>
  <c r="P141" i="2"/>
  <c r="P67" i="2"/>
  <c r="P62" i="2"/>
  <c r="P60" i="2"/>
  <c r="P68" i="2"/>
  <c r="P59" i="2"/>
  <c r="P79" i="3"/>
  <c r="P69" i="2"/>
  <c r="P80" i="3"/>
  <c r="G52" i="3"/>
  <c r="T51" i="3"/>
  <c r="K67" i="2"/>
  <c r="K62" i="2"/>
  <c r="K60" i="2"/>
  <c r="K155" i="3"/>
  <c r="K68" i="2"/>
  <c r="K69" i="2"/>
  <c r="K61" i="2"/>
  <c r="K80" i="3"/>
  <c r="K59" i="2"/>
  <c r="K79" i="3"/>
  <c r="G69" i="2"/>
  <c r="G141" i="2"/>
  <c r="E84" i="7"/>
  <c r="G62" i="2"/>
  <c r="G80" i="3"/>
  <c r="G68" i="2"/>
  <c r="G67" i="2"/>
  <c r="G59" i="2"/>
  <c r="G155" i="3"/>
  <c r="G79" i="3"/>
  <c r="G61" i="2"/>
  <c r="G60" i="2"/>
  <c r="R79" i="3"/>
  <c r="R141" i="2"/>
  <c r="R155" i="3"/>
  <c r="R67" i="2"/>
  <c r="R62" i="2"/>
  <c r="R69" i="2"/>
  <c r="R59" i="2"/>
  <c r="R80" i="3"/>
  <c r="R60" i="2"/>
  <c r="R68" i="2"/>
  <c r="R61" i="2"/>
  <c r="J155" i="3"/>
  <c r="J62" i="2"/>
  <c r="J61" i="2"/>
  <c r="J67" i="2"/>
  <c r="J60" i="2"/>
  <c r="J80" i="3"/>
  <c r="J68" i="2"/>
  <c r="J69" i="2"/>
  <c r="J59" i="2"/>
  <c r="J79" i="3"/>
  <c r="J141" i="2"/>
  <c r="H60" i="2"/>
  <c r="H141" i="2"/>
  <c r="H62" i="2"/>
  <c r="H79" i="3"/>
  <c r="H59" i="2"/>
  <c r="H67" i="2"/>
  <c r="H155" i="3"/>
  <c r="H69" i="2"/>
  <c r="H61" i="2"/>
  <c r="H80" i="3"/>
  <c r="H68" i="2"/>
  <c r="O62" i="2"/>
  <c r="O61" i="2"/>
  <c r="O67" i="2"/>
  <c r="O141" i="2"/>
  <c r="O69" i="2"/>
  <c r="O59" i="2"/>
  <c r="O155" i="3"/>
  <c r="O80" i="3"/>
  <c r="O60" i="2"/>
  <c r="O68" i="2"/>
  <c r="O79" i="3"/>
  <c r="N80" i="3"/>
  <c r="N79" i="3"/>
  <c r="N60" i="2"/>
  <c r="N141" i="2"/>
  <c r="N68" i="2"/>
  <c r="N69" i="2"/>
  <c r="N67" i="2"/>
  <c r="N61" i="2"/>
  <c r="N62" i="2"/>
  <c r="N155" i="3"/>
  <c r="N59" i="2"/>
  <c r="Q62" i="2"/>
  <c r="Q59" i="2"/>
  <c r="Q80" i="3"/>
  <c r="Q60" i="2"/>
  <c r="Q155" i="3"/>
  <c r="Q67" i="2"/>
  <c r="Q79" i="3"/>
  <c r="Q61" i="2"/>
  <c r="Q141" i="2"/>
  <c r="Q69" i="2"/>
  <c r="Q68" i="2"/>
  <c r="T50" i="3"/>
  <c r="O89" i="6"/>
  <c r="I89" i="6"/>
  <c r="G89" i="6"/>
  <c r="H89" i="6"/>
  <c r="Q89" i="6"/>
  <c r="N89" i="6"/>
  <c r="J89" i="6"/>
  <c r="L70" i="2" l="1"/>
  <c r="T52" i="3"/>
  <c r="M70" i="2"/>
  <c r="I70" i="2"/>
  <c r="H80" i="6" s="1"/>
  <c r="Q70" i="2"/>
  <c r="P80" i="6" s="1"/>
  <c r="F89" i="6"/>
  <c r="E89" i="6" s="1"/>
  <c r="O70" i="2"/>
  <c r="N76" i="6" s="1"/>
  <c r="T60" i="2"/>
  <c r="T62" i="2"/>
  <c r="N70" i="2"/>
  <c r="R70" i="2"/>
  <c r="T61" i="2"/>
  <c r="T79" i="3"/>
  <c r="T141" i="2"/>
  <c r="T155" i="3"/>
  <c r="T69" i="2"/>
  <c r="T80" i="3"/>
  <c r="J70" i="2"/>
  <c r="T59" i="2"/>
  <c r="G70" i="2"/>
  <c r="P70" i="2"/>
  <c r="H70" i="2"/>
  <c r="T67" i="2"/>
  <c r="K70" i="2"/>
  <c r="T68" i="2"/>
  <c r="L76" i="6" l="1"/>
  <c r="L80" i="6"/>
  <c r="K76" i="6"/>
  <c r="K80" i="6"/>
  <c r="K89" i="7"/>
  <c r="L89" i="7"/>
  <c r="H76" i="6"/>
  <c r="P76" i="6"/>
  <c r="P89" i="7"/>
  <c r="H89" i="7"/>
  <c r="M89" i="7"/>
  <c r="N89" i="7"/>
  <c r="N80" i="6"/>
  <c r="O89" i="7"/>
  <c r="I89" i="7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0" i="2"/>
  <c r="F80" i="6"/>
  <c r="F76" i="6"/>
  <c r="G89" i="7"/>
  <c r="Q89" i="7"/>
  <c r="F89" i="7"/>
  <c r="J89" i="7"/>
  <c r="E76" i="6" l="1"/>
  <c r="E80" i="6"/>
  <c r="E89" i="7"/>
  <c r="G80" i="7" l="1"/>
  <c r="H78" i="3" s="1"/>
  <c r="L80" i="7"/>
  <c r="M154" i="3" s="1"/>
  <c r="K80" i="7"/>
  <c r="L154" i="3" s="1"/>
  <c r="G76" i="7"/>
  <c r="H139" i="3" s="1"/>
  <c r="L76" i="7"/>
  <c r="M139" i="3" s="1"/>
  <c r="K76" i="7"/>
  <c r="L139" i="3" s="1"/>
  <c r="F76" i="7"/>
  <c r="G15" i="2" s="1"/>
  <c r="F80" i="7"/>
  <c r="G120" i="2" s="1"/>
  <c r="Q80" i="7"/>
  <c r="J76" i="7"/>
  <c r="I76" i="7"/>
  <c r="J100" i="3" s="1"/>
  <c r="J101" i="3" s="1"/>
  <c r="J103" i="3" s="1"/>
  <c r="Q76" i="7"/>
  <c r="M76" i="7"/>
  <c r="M40" i="5" s="1"/>
  <c r="M54" i="5" s="1"/>
  <c r="M56" i="5" s="1"/>
  <c r="O76" i="7"/>
  <c r="P40" i="5" s="1"/>
  <c r="P54" i="5" s="1"/>
  <c r="I80" i="7"/>
  <c r="J120" i="2" s="1"/>
  <c r="O80" i="7"/>
  <c r="Y80" i="6"/>
  <c r="P80" i="7"/>
  <c r="H80" i="7"/>
  <c r="N80" i="7"/>
  <c r="H131" i="3"/>
  <c r="M80" i="7"/>
  <c r="Y76" i="6"/>
  <c r="P76" i="7"/>
  <c r="H76" i="7"/>
  <c r="N76" i="7"/>
  <c r="J80" i="7"/>
  <c r="M135" i="3" l="1"/>
  <c r="M131" i="3"/>
  <c r="M151" i="3" s="1"/>
  <c r="L100" i="3"/>
  <c r="L101" i="3" s="1"/>
  <c r="L103" i="3" s="1"/>
  <c r="L135" i="3"/>
  <c r="L131" i="3"/>
  <c r="L151" i="3" s="1"/>
  <c r="L40" i="5"/>
  <c r="L54" i="5" s="1"/>
  <c r="L56" i="5" s="1"/>
  <c r="M100" i="3"/>
  <c r="M101" i="3" s="1"/>
  <c r="M103" i="3" s="1"/>
  <c r="L120" i="2"/>
  <c r="L78" i="3"/>
  <c r="M120" i="2"/>
  <c r="M78" i="3"/>
  <c r="H154" i="3"/>
  <c r="H120" i="2"/>
  <c r="H15" i="2"/>
  <c r="H16" i="2" s="1"/>
  <c r="H72" i="2" s="1"/>
  <c r="G75" i="6" s="1"/>
  <c r="H151" i="2"/>
  <c r="H119" i="2"/>
  <c r="H134" i="2"/>
  <c r="H40" i="5"/>
  <c r="H54" i="5" s="1"/>
  <c r="H10" i="1" s="1"/>
  <c r="H135" i="3"/>
  <c r="H151" i="3" s="1"/>
  <c r="H14" i="1" s="1"/>
  <c r="H100" i="3"/>
  <c r="H101" i="3" s="1"/>
  <c r="H103" i="3" s="1"/>
  <c r="H78" i="2"/>
  <c r="H79" i="2" s="1"/>
  <c r="L134" i="2"/>
  <c r="L151" i="2"/>
  <c r="M134" i="2"/>
  <c r="M151" i="2"/>
  <c r="K151" i="2"/>
  <c r="K134" i="2"/>
  <c r="L15" i="2"/>
  <c r="L16" i="2" s="1"/>
  <c r="L72" i="2" s="1"/>
  <c r="K75" i="6" s="1"/>
  <c r="L119" i="2"/>
  <c r="L78" i="2"/>
  <c r="L79" i="2" s="1"/>
  <c r="M119" i="2"/>
  <c r="M15" i="2"/>
  <c r="M16" i="2" s="1"/>
  <c r="M72" i="2" s="1"/>
  <c r="L75" i="6" s="1"/>
  <c r="M78" i="2"/>
  <c r="M79" i="2" s="1"/>
  <c r="K119" i="2"/>
  <c r="N131" i="3"/>
  <c r="R154" i="3"/>
  <c r="R40" i="5"/>
  <c r="R54" i="5" s="1"/>
  <c r="R10" i="1" s="1"/>
  <c r="P154" i="3"/>
  <c r="G119" i="2"/>
  <c r="G121" i="2" s="1"/>
  <c r="J139" i="3"/>
  <c r="J78" i="2"/>
  <c r="J79" i="2" s="1"/>
  <c r="G131" i="3"/>
  <c r="J134" i="2"/>
  <c r="J119" i="2"/>
  <c r="J121" i="2" s="1"/>
  <c r="G139" i="3"/>
  <c r="J135" i="3"/>
  <c r="J78" i="3"/>
  <c r="J151" i="2"/>
  <c r="N139" i="3"/>
  <c r="N40" i="5"/>
  <c r="N54" i="5" s="1"/>
  <c r="G154" i="3"/>
  <c r="J131" i="3"/>
  <c r="J40" i="5"/>
  <c r="J54" i="5" s="1"/>
  <c r="G78" i="3"/>
  <c r="K131" i="3"/>
  <c r="K139" i="3"/>
  <c r="N134" i="2"/>
  <c r="N15" i="2"/>
  <c r="N16" i="2" s="1"/>
  <c r="N72" i="2" s="1"/>
  <c r="M75" i="6" s="1"/>
  <c r="N100" i="3"/>
  <c r="N101" i="3" s="1"/>
  <c r="N103" i="3" s="1"/>
  <c r="N151" i="2"/>
  <c r="K135" i="3"/>
  <c r="N119" i="2"/>
  <c r="P151" i="2"/>
  <c r="N78" i="2"/>
  <c r="N79" i="2" s="1"/>
  <c r="K78" i="2"/>
  <c r="K79" i="2" s="1"/>
  <c r="N135" i="3"/>
  <c r="K40" i="5"/>
  <c r="K54" i="5" s="1"/>
  <c r="K15" i="2"/>
  <c r="K16" i="2" s="1"/>
  <c r="K72" i="2" s="1"/>
  <c r="K27" i="1" s="1"/>
  <c r="J15" i="2"/>
  <c r="J16" i="2" s="1"/>
  <c r="J72" i="2" s="1"/>
  <c r="I75" i="6" s="1"/>
  <c r="K100" i="3"/>
  <c r="K101" i="3" s="1"/>
  <c r="K103" i="3" s="1"/>
  <c r="R100" i="3"/>
  <c r="R101" i="3" s="1"/>
  <c r="R103" i="3" s="1"/>
  <c r="R139" i="3"/>
  <c r="P78" i="2"/>
  <c r="P79" i="2" s="1"/>
  <c r="P139" i="3"/>
  <c r="P134" i="2"/>
  <c r="R131" i="3"/>
  <c r="G78" i="2"/>
  <c r="G79" i="2" s="1"/>
  <c r="P100" i="3"/>
  <c r="P101" i="3" s="1"/>
  <c r="P103" i="3" s="1"/>
  <c r="G135" i="3"/>
  <c r="P131" i="3"/>
  <c r="G40" i="5"/>
  <c r="G54" i="5" s="1"/>
  <c r="G151" i="2"/>
  <c r="P119" i="2"/>
  <c r="G100" i="3"/>
  <c r="G101" i="3" s="1"/>
  <c r="G134" i="2"/>
  <c r="P15" i="2"/>
  <c r="P16" i="2" s="1"/>
  <c r="P72" i="2" s="1"/>
  <c r="P27" i="1" s="1"/>
  <c r="R78" i="3"/>
  <c r="P135" i="3"/>
  <c r="R78" i="2"/>
  <c r="R79" i="2" s="1"/>
  <c r="R151" i="2"/>
  <c r="R135" i="3"/>
  <c r="R15" i="2"/>
  <c r="R16" i="2" s="1"/>
  <c r="R72" i="2" s="1"/>
  <c r="R27" i="1" s="1"/>
  <c r="J154" i="3"/>
  <c r="R120" i="2"/>
  <c r="R119" i="2"/>
  <c r="R134" i="2"/>
  <c r="E76" i="7"/>
  <c r="E80" i="7"/>
  <c r="P120" i="2"/>
  <c r="P78" i="3"/>
  <c r="N120" i="2"/>
  <c r="N78" i="3"/>
  <c r="N154" i="3"/>
  <c r="Q154" i="3"/>
  <c r="Q120" i="2"/>
  <c r="Q78" i="3"/>
  <c r="K154" i="3"/>
  <c r="K78" i="3"/>
  <c r="K120" i="2"/>
  <c r="O119" i="2"/>
  <c r="O151" i="2"/>
  <c r="O15" i="2"/>
  <c r="O16" i="2" s="1"/>
  <c r="O72" i="2" s="1"/>
  <c r="O40" i="5"/>
  <c r="O54" i="5" s="1"/>
  <c r="O131" i="3"/>
  <c r="O100" i="3"/>
  <c r="O101" i="3" s="1"/>
  <c r="O103" i="3" s="1"/>
  <c r="O78" i="2"/>
  <c r="O79" i="2" s="1"/>
  <c r="O139" i="3"/>
  <c r="O135" i="3"/>
  <c r="O134" i="2"/>
  <c r="I40" i="5"/>
  <c r="I54" i="5" s="1"/>
  <c r="I139" i="3"/>
  <c r="I151" i="2"/>
  <c r="I135" i="3"/>
  <c r="I15" i="2"/>
  <c r="I16" i="2" s="1"/>
  <c r="I72" i="2" s="1"/>
  <c r="I134" i="2"/>
  <c r="I119" i="2"/>
  <c r="I131" i="3"/>
  <c r="I100" i="3"/>
  <c r="I101" i="3" s="1"/>
  <c r="I103" i="3" s="1"/>
  <c r="I78" i="2"/>
  <c r="I79" i="2" s="1"/>
  <c r="G16" i="2"/>
  <c r="P10" i="1"/>
  <c r="O78" i="3"/>
  <c r="O120" i="2"/>
  <c r="O154" i="3"/>
  <c r="Q134" i="2"/>
  <c r="Q15" i="2"/>
  <c r="Q16" i="2" s="1"/>
  <c r="Q72" i="2" s="1"/>
  <c r="Q78" i="2"/>
  <c r="Q79" i="2" s="1"/>
  <c r="Q100" i="3"/>
  <c r="Q101" i="3" s="1"/>
  <c r="Q103" i="3" s="1"/>
  <c r="Q119" i="2"/>
  <c r="Q135" i="3"/>
  <c r="Q131" i="3"/>
  <c r="Q151" i="2"/>
  <c r="Q40" i="5"/>
  <c r="Q54" i="5" s="1"/>
  <c r="Q139" i="3"/>
  <c r="I154" i="3"/>
  <c r="I78" i="3"/>
  <c r="I120" i="2"/>
  <c r="L121" i="2" l="1"/>
  <c r="H27" i="1"/>
  <c r="M121" i="2"/>
  <c r="H121" i="2"/>
  <c r="H123" i="2" s="1"/>
  <c r="H28" i="1" s="1"/>
  <c r="H152" i="2"/>
  <c r="H32" i="1" s="1"/>
  <c r="K121" i="2"/>
  <c r="K123" i="2" s="1"/>
  <c r="K28" i="1" s="1"/>
  <c r="K29" i="1" s="1"/>
  <c r="M123" i="2"/>
  <c r="M152" i="2"/>
  <c r="L123" i="2"/>
  <c r="L152" i="2"/>
  <c r="P152" i="2"/>
  <c r="P32" i="1" s="1"/>
  <c r="O152" i="2"/>
  <c r="O32" i="1" s="1"/>
  <c r="J123" i="2"/>
  <c r="J28" i="1" s="1"/>
  <c r="G151" i="3"/>
  <c r="G14" i="1" s="1"/>
  <c r="N27" i="1"/>
  <c r="J151" i="3"/>
  <c r="J14" i="1" s="1"/>
  <c r="J152" i="2"/>
  <c r="J32" i="1" s="1"/>
  <c r="N10" i="1"/>
  <c r="N54" i="1" s="1"/>
  <c r="N151" i="3"/>
  <c r="N14" i="1" s="1"/>
  <c r="K152" i="2"/>
  <c r="K32" i="1" s="1"/>
  <c r="J10" i="1"/>
  <c r="K10" i="1"/>
  <c r="P121" i="2"/>
  <c r="P123" i="2" s="1"/>
  <c r="P28" i="1" s="1"/>
  <c r="P29" i="1" s="1"/>
  <c r="N152" i="2"/>
  <c r="N32" i="1" s="1"/>
  <c r="Q152" i="2"/>
  <c r="Q32" i="1" s="1"/>
  <c r="Q75" i="6"/>
  <c r="N121" i="2"/>
  <c r="N123" i="2" s="1"/>
  <c r="N28" i="1" s="1"/>
  <c r="G152" i="2"/>
  <c r="G32" i="1" s="1"/>
  <c r="K151" i="3"/>
  <c r="K14" i="1" s="1"/>
  <c r="R151" i="3"/>
  <c r="R14" i="1" s="1"/>
  <c r="J75" i="6"/>
  <c r="J27" i="1"/>
  <c r="P151" i="3"/>
  <c r="P14" i="1" s="1"/>
  <c r="R121" i="2"/>
  <c r="R123" i="2" s="1"/>
  <c r="R28" i="1" s="1"/>
  <c r="R29" i="1" s="1"/>
  <c r="O75" i="6"/>
  <c r="R152" i="2"/>
  <c r="R32" i="1" s="1"/>
  <c r="H54" i="1"/>
  <c r="P54" i="1"/>
  <c r="R54" i="1"/>
  <c r="O121" i="2"/>
  <c r="O123" i="2" s="1"/>
  <c r="O28" i="1" s="1"/>
  <c r="Q121" i="2"/>
  <c r="Q123" i="2" s="1"/>
  <c r="Q28" i="1" s="1"/>
  <c r="T139" i="3"/>
  <c r="I152" i="2"/>
  <c r="I32" i="1" s="1"/>
  <c r="T154" i="3"/>
  <c r="T119" i="2"/>
  <c r="Q151" i="3"/>
  <c r="Q14" i="1" s="1"/>
  <c r="O151" i="3"/>
  <c r="O14" i="1" s="1"/>
  <c r="T120" i="2"/>
  <c r="T15" i="2"/>
  <c r="T135" i="3"/>
  <c r="T151" i="2"/>
  <c r="H29" i="1"/>
  <c r="H75" i="6"/>
  <c r="I27" i="1"/>
  <c r="G72" i="2"/>
  <c r="T16" i="2"/>
  <c r="O10" i="1"/>
  <c r="T54" i="5"/>
  <c r="G10" i="1"/>
  <c r="T78" i="2"/>
  <c r="N75" i="6"/>
  <c r="O27" i="1"/>
  <c r="T40" i="5"/>
  <c r="T79" i="2"/>
  <c r="G123" i="2"/>
  <c r="T131" i="3"/>
  <c r="P75" i="6"/>
  <c r="Q27" i="1"/>
  <c r="I10" i="1"/>
  <c r="T134" i="2"/>
  <c r="Q10" i="1"/>
  <c r="I151" i="3"/>
  <c r="I14" i="1" s="1"/>
  <c r="T100" i="3"/>
  <c r="I121" i="2"/>
  <c r="I123" i="2" s="1"/>
  <c r="I28" i="1" s="1"/>
  <c r="G103" i="3"/>
  <c r="T103" i="3" s="1"/>
  <c r="T101" i="3"/>
  <c r="T78" i="3"/>
  <c r="N29" i="1" l="1"/>
  <c r="J29" i="1"/>
  <c r="J54" i="1"/>
  <c r="K54" i="1"/>
  <c r="F32" i="1"/>
  <c r="T32" i="1" s="1"/>
  <c r="T152" i="2"/>
  <c r="F10" i="1"/>
  <c r="G54" i="1"/>
  <c r="Q54" i="1"/>
  <c r="F14" i="1"/>
  <c r="T14" i="1" s="1"/>
  <c r="I54" i="1"/>
  <c r="O54" i="1"/>
  <c r="O29" i="1"/>
  <c r="T151" i="3"/>
  <c r="Q29" i="1"/>
  <c r="T121" i="2"/>
  <c r="I29" i="1"/>
  <c r="G28" i="1"/>
  <c r="F28" i="1" s="1"/>
  <c r="T28" i="1" s="1"/>
  <c r="T123" i="2"/>
  <c r="T72" i="2"/>
  <c r="F75" i="6"/>
  <c r="G27" i="1"/>
  <c r="F27" i="1" s="1"/>
  <c r="T10" i="1" l="1"/>
  <c r="F54" i="1"/>
  <c r="T54" i="1" s="1"/>
  <c r="T27" i="1"/>
  <c r="F29" i="1"/>
  <c r="G29" i="1"/>
  <c r="E75" i="6"/>
  <c r="F75" i="7" l="1"/>
  <c r="G127" i="2" s="1"/>
  <c r="L75" i="7"/>
  <c r="M127" i="2" s="1"/>
  <c r="M128" i="2" s="1"/>
  <c r="M154" i="2" s="1"/>
  <c r="M156" i="2" s="1"/>
  <c r="K75" i="7"/>
  <c r="L127" i="2" s="1"/>
  <c r="L128" i="2" s="1"/>
  <c r="L154" i="2" s="1"/>
  <c r="L156" i="2" s="1"/>
  <c r="T29" i="1"/>
  <c r="Y75" i="6"/>
  <c r="I75" i="7"/>
  <c r="J127" i="2" s="1"/>
  <c r="J128" i="2" s="1"/>
  <c r="M75" i="7"/>
  <c r="N127" i="2" s="1"/>
  <c r="N128" i="2" s="1"/>
  <c r="Q75" i="7"/>
  <c r="J75" i="7"/>
  <c r="K127" i="2" s="1"/>
  <c r="K128" i="2" s="1"/>
  <c r="G75" i="7"/>
  <c r="H127" i="2" s="1"/>
  <c r="H128" i="2" s="1"/>
  <c r="O75" i="7"/>
  <c r="H75" i="7"/>
  <c r="I127" i="2" s="1"/>
  <c r="I128" i="2" s="1"/>
  <c r="P75" i="7"/>
  <c r="N75" i="7"/>
  <c r="O127" i="2" s="1"/>
  <c r="O128" i="2" s="1"/>
  <c r="K82" i="6" l="1"/>
  <c r="L82" i="6"/>
  <c r="Q127" i="2"/>
  <c r="Q128" i="2" s="1"/>
  <c r="Q31" i="1" s="1"/>
  <c r="Q34" i="1" s="1"/>
  <c r="Q42" i="1" s="1"/>
  <c r="P127" i="2"/>
  <c r="P128" i="2" s="1"/>
  <c r="P31" i="1" s="1"/>
  <c r="P34" i="1" s="1"/>
  <c r="P42" i="1" s="1"/>
  <c r="R127" i="2"/>
  <c r="R128" i="2" s="1"/>
  <c r="R31" i="1" s="1"/>
  <c r="R34" i="1" s="1"/>
  <c r="R42" i="1" s="1"/>
  <c r="K31" i="1"/>
  <c r="K34" i="1" s="1"/>
  <c r="K42" i="1" s="1"/>
  <c r="K154" i="2"/>
  <c r="K156" i="2" s="1"/>
  <c r="K20" i="1" s="1"/>
  <c r="H31" i="1"/>
  <c r="H34" i="1" s="1"/>
  <c r="H42" i="1" s="1"/>
  <c r="H154" i="2"/>
  <c r="H156" i="2" s="1"/>
  <c r="H20" i="1" s="1"/>
  <c r="N154" i="2"/>
  <c r="N156" i="2" s="1"/>
  <c r="N20" i="1" s="1"/>
  <c r="N31" i="1"/>
  <c r="N34" i="1" s="1"/>
  <c r="N42" i="1" s="1"/>
  <c r="J31" i="1"/>
  <c r="J34" i="1" s="1"/>
  <c r="J42" i="1" s="1"/>
  <c r="J154" i="2"/>
  <c r="J156" i="2" s="1"/>
  <c r="J20" i="1" s="1"/>
  <c r="O154" i="2"/>
  <c r="O156" i="2" s="1"/>
  <c r="O20" i="1" s="1"/>
  <c r="O31" i="1"/>
  <c r="O34" i="1" s="1"/>
  <c r="O42" i="1" s="1"/>
  <c r="I31" i="1"/>
  <c r="I34" i="1" s="1"/>
  <c r="I42" i="1" s="1"/>
  <c r="I154" i="2"/>
  <c r="I156" i="2" s="1"/>
  <c r="I20" i="1" s="1"/>
  <c r="E75" i="7"/>
  <c r="G128" i="2"/>
  <c r="Q154" i="2" l="1"/>
  <c r="Q156" i="2" s="1"/>
  <c r="Q20" i="1" s="1"/>
  <c r="T127" i="2"/>
  <c r="R154" i="2"/>
  <c r="R156" i="2" s="1"/>
  <c r="R20" i="1" s="1"/>
  <c r="P154" i="2"/>
  <c r="P156" i="2" s="1"/>
  <c r="P20" i="1" s="1"/>
  <c r="M82" i="6"/>
  <c r="G82" i="6"/>
  <c r="H159" i="2"/>
  <c r="H82" i="6"/>
  <c r="I159" i="2"/>
  <c r="T128" i="2"/>
  <c r="G31" i="1"/>
  <c r="G154" i="2"/>
  <c r="N82" i="6"/>
  <c r="I82" i="6"/>
  <c r="J82" i="6"/>
  <c r="Q82" i="6" l="1"/>
  <c r="P82" i="6"/>
  <c r="O82" i="6"/>
  <c r="G34" i="1"/>
  <c r="G42" i="1" s="1"/>
  <c r="F31" i="1"/>
  <c r="G156" i="2"/>
  <c r="G20" i="1" s="1"/>
  <c r="T20" i="1" s="1"/>
  <c r="T154" i="2"/>
  <c r="T159" i="2"/>
  <c r="T31" i="1" l="1"/>
  <c r="F34" i="1"/>
  <c r="T156" i="2"/>
  <c r="F82" i="6"/>
  <c r="E82" i="6" s="1"/>
  <c r="L82" i="7" l="1"/>
  <c r="K82" i="7"/>
  <c r="F42" i="1"/>
  <c r="T42" i="1" s="1"/>
  <c r="T34" i="1"/>
  <c r="F82" i="7"/>
  <c r="Y82" i="6"/>
  <c r="P82" i="7"/>
  <c r="J82" i="7"/>
  <c r="O82" i="7"/>
  <c r="M82" i="7"/>
  <c r="Q82" i="7"/>
  <c r="N82" i="7"/>
  <c r="I82" i="7"/>
  <c r="G82" i="7"/>
  <c r="H82" i="7"/>
  <c r="E82" i="7" l="1"/>
  <c r="T162" i="3" l="1"/>
  <c r="T163" i="3"/>
  <c r="T164" i="3" l="1"/>
  <c r="T166" i="3" l="1"/>
  <c r="G69" i="3" l="1"/>
  <c r="H69" i="3"/>
  <c r="I69" i="3"/>
  <c r="J69" i="3"/>
  <c r="K69" i="3"/>
  <c r="N69" i="3"/>
  <c r="O69" i="3"/>
  <c r="P69" i="3"/>
  <c r="Q69" i="3"/>
  <c r="R69" i="3"/>
  <c r="T69" i="3" l="1"/>
  <c r="G70" i="3"/>
  <c r="G71" i="3" s="1"/>
  <c r="F68" i="6" s="1"/>
  <c r="H70" i="3"/>
  <c r="H71" i="3" s="1"/>
  <c r="G68" i="6" s="1"/>
  <c r="I70" i="3"/>
  <c r="I71" i="3" s="1"/>
  <c r="H68" i="6" s="1"/>
  <c r="J70" i="3"/>
  <c r="J71" i="3" s="1"/>
  <c r="I68" i="6" s="1"/>
  <c r="K70" i="3"/>
  <c r="K71" i="3" s="1"/>
  <c r="J68" i="6" s="1"/>
  <c r="N70" i="3"/>
  <c r="N71" i="3" s="1"/>
  <c r="O70" i="3"/>
  <c r="O71" i="3" s="1"/>
  <c r="N68" i="6" s="1"/>
  <c r="P70" i="3"/>
  <c r="P71" i="3" s="1"/>
  <c r="O68" i="6" s="1"/>
  <c r="Q70" i="3"/>
  <c r="Q71" i="3" s="1"/>
  <c r="P68" i="6" s="1"/>
  <c r="R70" i="3"/>
  <c r="R71" i="3" s="1"/>
  <c r="Q68" i="6" l="1"/>
  <c r="M68" i="6"/>
  <c r="T70" i="3"/>
  <c r="E68" i="6" l="1"/>
  <c r="Y68" i="6" l="1"/>
  <c r="L68" i="7"/>
  <c r="K68" i="7"/>
  <c r="M68" i="7"/>
  <c r="N75" i="3" s="1"/>
  <c r="H68" i="7"/>
  <c r="I77" i="3" s="1"/>
  <c r="Q68" i="7"/>
  <c r="G68" i="7"/>
  <c r="H75" i="3" s="1"/>
  <c r="F68" i="7"/>
  <c r="G75" i="3" s="1"/>
  <c r="I68" i="7"/>
  <c r="J82" i="3" s="1"/>
  <c r="N68" i="7"/>
  <c r="J68" i="7"/>
  <c r="K83" i="3" s="1"/>
  <c r="P68" i="7"/>
  <c r="O68" i="7"/>
  <c r="I82" i="3"/>
  <c r="N77" i="3"/>
  <c r="N76" i="3"/>
  <c r="N83" i="3" l="1"/>
  <c r="L83" i="3"/>
  <c r="L75" i="3"/>
  <c r="L82" i="3"/>
  <c r="L74" i="3"/>
  <c r="L77" i="3"/>
  <c r="L76" i="3"/>
  <c r="M83" i="3"/>
  <c r="M75" i="3"/>
  <c r="M82" i="3"/>
  <c r="M74" i="3"/>
  <c r="M77" i="3"/>
  <c r="M76" i="3"/>
  <c r="N82" i="3"/>
  <c r="P83" i="3"/>
  <c r="R77" i="3"/>
  <c r="N74" i="3"/>
  <c r="O82" i="3"/>
  <c r="Q83" i="3"/>
  <c r="Q75" i="3"/>
  <c r="Q74" i="3"/>
  <c r="J74" i="3"/>
  <c r="O74" i="3"/>
  <c r="G74" i="3"/>
  <c r="G76" i="3"/>
  <c r="G82" i="3"/>
  <c r="I83" i="3"/>
  <c r="P77" i="3"/>
  <c r="I76" i="3"/>
  <c r="O76" i="3"/>
  <c r="R83" i="3"/>
  <c r="Q77" i="3"/>
  <c r="R75" i="3"/>
  <c r="O75" i="3"/>
  <c r="H82" i="3"/>
  <c r="R76" i="3"/>
  <c r="K82" i="3"/>
  <c r="O77" i="3"/>
  <c r="R82" i="3"/>
  <c r="R74" i="3"/>
  <c r="K75" i="3"/>
  <c r="O83" i="3"/>
  <c r="K74" i="3"/>
  <c r="I75" i="3"/>
  <c r="I74" i="3"/>
  <c r="H76" i="3"/>
  <c r="P75" i="3"/>
  <c r="K77" i="3"/>
  <c r="K76" i="3"/>
  <c r="H74" i="3"/>
  <c r="H77" i="3"/>
  <c r="H83" i="3"/>
  <c r="P82" i="3"/>
  <c r="J76" i="3"/>
  <c r="E68" i="7"/>
  <c r="P74" i="3"/>
  <c r="Q82" i="3"/>
  <c r="Q76" i="3"/>
  <c r="J77" i="3"/>
  <c r="J75" i="3"/>
  <c r="G83" i="3"/>
  <c r="J83" i="3"/>
  <c r="P76" i="3"/>
  <c r="G77" i="3"/>
  <c r="G11" i="5"/>
  <c r="T82" i="3" l="1"/>
  <c r="T76" i="3"/>
  <c r="T83" i="3"/>
  <c r="T77" i="3"/>
  <c r="T75" i="3"/>
  <c r="T74" i="3"/>
  <c r="J11" i="5"/>
  <c r="J15" i="5" s="1"/>
  <c r="I90" i="6" s="1"/>
  <c r="P11" i="5"/>
  <c r="P15" i="5" s="1"/>
  <c r="P8" i="1" s="1"/>
  <c r="G15" i="5"/>
  <c r="O11" i="5"/>
  <c r="O15" i="5" s="1"/>
  <c r="I11" i="5"/>
  <c r="I15" i="5" s="1"/>
  <c r="R11" i="5"/>
  <c r="R15" i="5" s="1"/>
  <c r="N11" i="5"/>
  <c r="N15" i="5" s="1"/>
  <c r="H11" i="5"/>
  <c r="H15" i="5" s="1"/>
  <c r="Q11" i="5"/>
  <c r="Q15" i="5" s="1"/>
  <c r="K11" i="5"/>
  <c r="K15" i="5" s="1"/>
  <c r="O90" i="6" l="1"/>
  <c r="P56" i="5"/>
  <c r="J8" i="1"/>
  <c r="J11" i="1" s="1"/>
  <c r="J56" i="5"/>
  <c r="M90" i="6"/>
  <c r="N56" i="5"/>
  <c r="N8" i="1"/>
  <c r="P11" i="1"/>
  <c r="T11" i="5"/>
  <c r="J90" i="6"/>
  <c r="K56" i="5"/>
  <c r="K8" i="1"/>
  <c r="Q90" i="6"/>
  <c r="R8" i="1"/>
  <c r="R56" i="5"/>
  <c r="P90" i="6"/>
  <c r="Q56" i="5"/>
  <c r="Q8" i="1"/>
  <c r="H90" i="6"/>
  <c r="I56" i="5"/>
  <c r="I8" i="1"/>
  <c r="G90" i="6"/>
  <c r="H56" i="5"/>
  <c r="H8" i="1"/>
  <c r="N90" i="6"/>
  <c r="O56" i="5"/>
  <c r="O8" i="1"/>
  <c r="T15" i="5"/>
  <c r="F90" i="6"/>
  <c r="G56" i="5"/>
  <c r="G8" i="1"/>
  <c r="T56" i="5" l="1"/>
  <c r="I11" i="1"/>
  <c r="F8" i="1"/>
  <c r="G11" i="1"/>
  <c r="O11" i="1"/>
  <c r="K11" i="1"/>
  <c r="N11" i="1"/>
  <c r="H11" i="1"/>
  <c r="E90" i="6"/>
  <c r="Y90" i="6" s="1"/>
  <c r="Q11" i="1"/>
  <c r="R11" i="1"/>
  <c r="L90" i="7" l="1"/>
  <c r="K90" i="7"/>
  <c r="O90" i="7"/>
  <c r="I90" i="7"/>
  <c r="H90" i="7"/>
  <c r="T8" i="1"/>
  <c r="F11" i="1"/>
  <c r="G90" i="7"/>
  <c r="N90" i="7"/>
  <c r="M90" i="7"/>
  <c r="J90" i="7"/>
  <c r="F90" i="7"/>
  <c r="P90" i="7"/>
  <c r="Q90" i="7"/>
  <c r="L81" i="3" l="1"/>
  <c r="L84" i="3" s="1"/>
  <c r="L86" i="3" s="1"/>
  <c r="L105" i="3" s="1"/>
  <c r="L156" i="3"/>
  <c r="L159" i="3" s="1"/>
  <c r="M81" i="3"/>
  <c r="M84" i="3" s="1"/>
  <c r="M86" i="3" s="1"/>
  <c r="M105" i="3" s="1"/>
  <c r="M156" i="3"/>
  <c r="M159" i="3" s="1"/>
  <c r="O81" i="3"/>
  <c r="O84" i="3" s="1"/>
  <c r="O86" i="3" s="1"/>
  <c r="O105" i="3" s="1"/>
  <c r="O156" i="3"/>
  <c r="O159" i="3" s="1"/>
  <c r="O15" i="1" s="1"/>
  <c r="T11" i="1"/>
  <c r="I81" i="3"/>
  <c r="I84" i="3" s="1"/>
  <c r="I86" i="3" s="1"/>
  <c r="I105" i="3" s="1"/>
  <c r="I156" i="3"/>
  <c r="I159" i="3" s="1"/>
  <c r="I15" i="1" s="1"/>
  <c r="J81" i="3"/>
  <c r="J84" i="3" s="1"/>
  <c r="J86" i="3" s="1"/>
  <c r="J105" i="3" s="1"/>
  <c r="J156" i="3"/>
  <c r="J159" i="3" s="1"/>
  <c r="J15" i="1" s="1"/>
  <c r="R81" i="3"/>
  <c r="R84" i="3" s="1"/>
  <c r="R86" i="3" s="1"/>
  <c r="R105" i="3" s="1"/>
  <c r="R156" i="3"/>
  <c r="R159" i="3" s="1"/>
  <c r="R15" i="1" s="1"/>
  <c r="Q81" i="3"/>
  <c r="Q84" i="3" s="1"/>
  <c r="Q86" i="3" s="1"/>
  <c r="Q105" i="3" s="1"/>
  <c r="Q156" i="3"/>
  <c r="Q159" i="3" s="1"/>
  <c r="Q15" i="1" s="1"/>
  <c r="K81" i="3"/>
  <c r="K84" i="3" s="1"/>
  <c r="K86" i="3" s="1"/>
  <c r="K105" i="3" s="1"/>
  <c r="K156" i="3"/>
  <c r="K159" i="3" s="1"/>
  <c r="K15" i="1" s="1"/>
  <c r="G81" i="3"/>
  <c r="G156" i="3"/>
  <c r="E90" i="7"/>
  <c r="N81" i="3"/>
  <c r="N84" i="3" s="1"/>
  <c r="N86" i="3" s="1"/>
  <c r="N105" i="3" s="1"/>
  <c r="N156" i="3"/>
  <c r="N159" i="3" s="1"/>
  <c r="N15" i="1" s="1"/>
  <c r="H81" i="3"/>
  <c r="H84" i="3" s="1"/>
  <c r="H86" i="3" s="1"/>
  <c r="H105" i="3" s="1"/>
  <c r="H156" i="3"/>
  <c r="H159" i="3" s="1"/>
  <c r="H15" i="1" s="1"/>
  <c r="P81" i="3"/>
  <c r="P84" i="3" s="1"/>
  <c r="P86" i="3" s="1"/>
  <c r="P105" i="3" s="1"/>
  <c r="P156" i="3"/>
  <c r="P159" i="3" s="1"/>
  <c r="P15" i="1" s="1"/>
  <c r="K87" i="6" l="1"/>
  <c r="K87" i="7" s="1"/>
  <c r="L87" i="6"/>
  <c r="L87" i="7" s="1"/>
  <c r="L83" i="6"/>
  <c r="K83" i="6"/>
  <c r="G84" i="3"/>
  <c r="T81" i="3"/>
  <c r="P87" i="6"/>
  <c r="P87" i="7" s="1"/>
  <c r="Q13" i="1"/>
  <c r="Q16" i="1" s="1"/>
  <c r="Q18" i="1" s="1"/>
  <c r="P83" i="6"/>
  <c r="I87" i="6"/>
  <c r="I87" i="7" s="1"/>
  <c r="J13" i="1"/>
  <c r="J16" i="1" s="1"/>
  <c r="J18" i="1" s="1"/>
  <c r="I83" i="6"/>
  <c r="M83" i="6"/>
  <c r="M87" i="6"/>
  <c r="M87" i="7" s="1"/>
  <c r="N13" i="1"/>
  <c r="N16" i="1" s="1"/>
  <c r="N18" i="1" s="1"/>
  <c r="J87" i="6"/>
  <c r="J87" i="7" s="1"/>
  <c r="K13" i="1"/>
  <c r="K16" i="1" s="1"/>
  <c r="K18" i="1" s="1"/>
  <c r="J83" i="6"/>
  <c r="Q83" i="6"/>
  <c r="Q87" i="6"/>
  <c r="Q87" i="7" s="1"/>
  <c r="R13" i="1"/>
  <c r="R16" i="1" s="1"/>
  <c r="R18" i="1" s="1"/>
  <c r="H87" i="6"/>
  <c r="H87" i="7" s="1"/>
  <c r="I13" i="1"/>
  <c r="I16" i="1" s="1"/>
  <c r="I18" i="1" s="1"/>
  <c r="H83" i="6"/>
  <c r="O87" i="6"/>
  <c r="O87" i="7" s="1"/>
  <c r="P13" i="1"/>
  <c r="P16" i="1" s="1"/>
  <c r="P18" i="1" s="1"/>
  <c r="O83" i="6"/>
  <c r="G83" i="6"/>
  <c r="G87" i="6"/>
  <c r="G87" i="7" s="1"/>
  <c r="H13" i="1"/>
  <c r="H16" i="1" s="1"/>
  <c r="H18" i="1" s="1"/>
  <c r="G159" i="3"/>
  <c r="T156" i="3"/>
  <c r="N87" i="6"/>
  <c r="N87" i="7" s="1"/>
  <c r="O13" i="1"/>
  <c r="O16" i="1" s="1"/>
  <c r="O18" i="1" s="1"/>
  <c r="N83" i="6"/>
  <c r="R21" i="1" l="1"/>
  <c r="K21" i="1"/>
  <c r="Q21" i="1"/>
  <c r="J21" i="1"/>
  <c r="I21" i="1"/>
  <c r="N21" i="1"/>
  <c r="T159" i="3"/>
  <c r="G15" i="1"/>
  <c r="F15" i="1" s="1"/>
  <c r="T15" i="1" s="1"/>
  <c r="O21" i="1"/>
  <c r="H21" i="1"/>
  <c r="P21" i="1"/>
  <c r="T84" i="3"/>
  <c r="G86" i="3"/>
  <c r="T86" i="3" l="1"/>
  <c r="G105" i="3"/>
  <c r="T105" i="3" l="1"/>
  <c r="F87" i="6"/>
  <c r="G13" i="1"/>
  <c r="F83" i="6"/>
  <c r="F13" i="1" l="1"/>
  <c r="G16" i="1"/>
  <c r="G18" i="1" s="1"/>
  <c r="E83" i="6"/>
  <c r="Y87" i="6"/>
  <c r="F87" i="7"/>
  <c r="E87" i="7" s="1"/>
  <c r="F83" i="7" l="1"/>
  <c r="L83" i="7"/>
  <c r="K83" i="7"/>
  <c r="G21" i="1"/>
  <c r="Y83" i="6"/>
  <c r="M83" i="7"/>
  <c r="G83" i="7"/>
  <c r="N83" i="7"/>
  <c r="Q83" i="7"/>
  <c r="I83" i="7"/>
  <c r="H83" i="7"/>
  <c r="O83" i="7"/>
  <c r="P83" i="7"/>
  <c r="J83" i="7"/>
  <c r="T13" i="1"/>
  <c r="F16" i="1"/>
  <c r="T16" i="1" l="1"/>
  <c r="F18" i="1"/>
  <c r="E83" i="7"/>
  <c r="T18" i="1" l="1"/>
  <c r="F24" i="1"/>
  <c r="F21" i="1"/>
  <c r="F36" i="1" l="1"/>
  <c r="F43" i="1"/>
  <c r="C49" i="1" s="1"/>
  <c r="T21" i="1"/>
  <c r="J22" i="1"/>
  <c r="J24" i="1" s="1"/>
  <c r="P22" i="1"/>
  <c r="P24" i="1" s="1"/>
  <c r="G22" i="1"/>
  <c r="K22" i="1"/>
  <c r="K24" i="1" s="1"/>
  <c r="Q22" i="1"/>
  <c r="Q24" i="1" s="1"/>
  <c r="H22" i="1"/>
  <c r="H24" i="1" s="1"/>
  <c r="N22" i="1"/>
  <c r="N24" i="1" s="1"/>
  <c r="R22" i="1"/>
  <c r="R24" i="1" s="1"/>
  <c r="O22" i="1"/>
  <c r="O24" i="1" s="1"/>
  <c r="I22" i="1"/>
  <c r="I24" i="1" s="1"/>
  <c r="M37" i="1" l="1"/>
  <c r="L37" i="1"/>
  <c r="R36" i="1"/>
  <c r="R37" i="1" s="1"/>
  <c r="R43" i="1"/>
  <c r="R49" i="1" s="1"/>
  <c r="T22" i="1"/>
  <c r="G24" i="1"/>
  <c r="N36" i="1"/>
  <c r="N37" i="1" s="1"/>
  <c r="N43" i="1"/>
  <c r="N49" i="1" s="1"/>
  <c r="P36" i="1"/>
  <c r="P37" i="1" s="1"/>
  <c r="P43" i="1"/>
  <c r="P49" i="1" s="1"/>
  <c r="K36" i="1"/>
  <c r="K37" i="1" s="1"/>
  <c r="K43" i="1"/>
  <c r="K49" i="1" s="1"/>
  <c r="I36" i="1"/>
  <c r="I37" i="1" s="1"/>
  <c r="I43" i="1"/>
  <c r="I49" i="1" s="1"/>
  <c r="H36" i="1"/>
  <c r="H37" i="1" s="1"/>
  <c r="H43" i="1"/>
  <c r="H49" i="1" s="1"/>
  <c r="O43" i="1"/>
  <c r="O49" i="1" s="1"/>
  <c r="O36" i="1"/>
  <c r="O37" i="1" s="1"/>
  <c r="Q36" i="1"/>
  <c r="Q37" i="1" s="1"/>
  <c r="Q43" i="1"/>
  <c r="Q49" i="1" s="1"/>
  <c r="J36" i="1"/>
  <c r="J37" i="1" s="1"/>
  <c r="J43" i="1"/>
  <c r="J49" i="1" s="1"/>
  <c r="F37" i="1"/>
  <c r="G36" i="1" l="1"/>
  <c r="G43" i="1"/>
  <c r="G49" i="1" s="1"/>
  <c r="T49" i="1" s="1"/>
  <c r="T24" i="1"/>
  <c r="T43" i="1" l="1"/>
  <c r="G37" i="1"/>
  <c r="T37" i="1" s="1"/>
  <c r="T36" i="1"/>
  <c r="G47" i="1"/>
  <c r="H47" i="1"/>
  <c r="I47" i="1"/>
  <c r="J47" i="1"/>
  <c r="K47" i="1"/>
  <c r="N47" i="1"/>
  <c r="O47" i="1"/>
  <c r="P47" i="1"/>
  <c r="Q47" i="1"/>
  <c r="R47" i="1"/>
  <c r="G48" i="1"/>
  <c r="H48" i="1"/>
  <c r="I48" i="1"/>
  <c r="J48" i="1"/>
  <c r="K48" i="1"/>
  <c r="N48" i="1"/>
  <c r="O48" i="1"/>
  <c r="P48" i="1"/>
  <c r="Q48" i="1"/>
  <c r="R48" i="1"/>
  <c r="T48" i="1" l="1"/>
  <c r="T47" i="1"/>
  <c r="G46" i="1" l="1"/>
  <c r="H46" i="1"/>
  <c r="T46" i="1" s="1"/>
  <c r="I46" i="1"/>
  <c r="J46" i="1"/>
  <c r="K46" i="1"/>
  <c r="N46" i="1"/>
  <c r="O46" i="1"/>
  <c r="O51" i="1" s="1"/>
  <c r="O53" i="1" s="1"/>
  <c r="O55" i="1" s="1"/>
  <c r="P46" i="1"/>
  <c r="P51" i="1" s="1"/>
  <c r="P53" i="1" s="1"/>
  <c r="P55" i="1" s="1"/>
  <c r="Q46" i="1"/>
  <c r="R46" i="1"/>
  <c r="R51" i="1" s="1"/>
  <c r="R53" i="1" s="1"/>
  <c r="R55" i="1" s="1"/>
  <c r="F51" i="1"/>
  <c r="G51" i="1"/>
  <c r="H51" i="1"/>
  <c r="I51" i="1"/>
  <c r="J51" i="1"/>
  <c r="J53" i="1" s="1"/>
  <c r="J55" i="1" s="1"/>
  <c r="K51" i="1"/>
  <c r="N51" i="1"/>
  <c r="Q51" i="1"/>
  <c r="F53" i="1"/>
  <c r="G53" i="1"/>
  <c r="H53" i="1"/>
  <c r="K53" i="1"/>
  <c r="N53" i="1"/>
  <c r="N55" i="1" s="1"/>
  <c r="Q53" i="1"/>
  <c r="G55" i="1"/>
  <c r="H55" i="1"/>
  <c r="H56" i="1" s="1"/>
  <c r="K55" i="1"/>
  <c r="Q55" i="1"/>
  <c r="G56" i="1"/>
  <c r="K56" i="1"/>
  <c r="Q56" i="1"/>
  <c r="G59" i="1"/>
  <c r="H59" i="1"/>
  <c r="K59" i="1"/>
  <c r="Q59" i="1"/>
  <c r="P59" i="1" l="1"/>
  <c r="P56" i="1"/>
  <c r="R56" i="1"/>
  <c r="R59" i="1"/>
  <c r="N59" i="1"/>
  <c r="N56" i="1"/>
  <c r="J59" i="1"/>
  <c r="J56" i="1"/>
  <c r="O56" i="1"/>
  <c r="O59" i="1"/>
  <c r="T51" i="1"/>
  <c r="F55" i="1"/>
  <c r="I53" i="1"/>
  <c r="I55" i="1" s="1"/>
  <c r="J60" i="1" l="1"/>
  <c r="I56" i="1"/>
  <c r="I59" i="1"/>
  <c r="F56" i="1"/>
  <c r="F59" i="1"/>
  <c r="T55" i="1"/>
  <c r="T53" i="1"/>
  <c r="R60" i="1"/>
  <c r="P60" i="1"/>
  <c r="N60" i="1"/>
  <c r="G60" i="1" l="1"/>
  <c r="M60" i="1"/>
  <c r="Q60" i="1"/>
  <c r="T59" i="1"/>
  <c r="F60" i="1"/>
  <c r="K60" i="1"/>
  <c r="L60" i="1"/>
  <c r="H60" i="1"/>
  <c r="T56" i="1"/>
  <c r="O60" i="1"/>
  <c r="I60" i="1"/>
  <c r="T60" i="1" l="1"/>
</calcChain>
</file>

<file path=xl/sharedStrings.xml><?xml version="1.0" encoding="utf-8"?>
<sst xmlns="http://schemas.openxmlformats.org/spreadsheetml/2006/main" count="743" uniqueCount="587">
  <si>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</si>
  <si>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</si>
  <si>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</si>
  <si>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</si>
  <si>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</si>
  <si>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</si>
  <si>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</si>
  <si>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</si>
  <si>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</si>
  <si>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</si>
  <si>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</si>
  <si>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</si>
  <si>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</si>
  <si>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</si>
  <si>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</si>
  <si>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</si>
  <si>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</si>
  <si>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</si>
  <si>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</si>
  <si>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</si>
  <si>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</si>
  <si>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</si>
  <si>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</si>
  <si>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</si>
  <si>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</si>
  <si>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</si>
  <si>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</si>
  <si>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</si>
  <si>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</si>
  <si>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</si>
  <si>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</si>
  <si>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</si>
  <si>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</si>
  <si>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</si>
  <si>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</si>
  <si>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</si>
  <si>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</si>
  <si>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</si>
  <si>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</si>
  <si>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</si>
  <si>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</si>
  <si>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</si>
  <si>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</si>
  <si>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</si>
  <si>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</si>
  <si>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</si>
  <si>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</si>
  <si>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</si>
  <si>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</si>
  <si>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</si>
  <si>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</si>
  <si>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</si>
  <si>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</si>
  <si>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</si>
  <si>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</si>
  <si>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</si>
  <si>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</si>
  <si>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</si>
  <si>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</si>
  <si>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</si>
  <si>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</si>
  <si>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</si>
  <si>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</si>
  <si>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</si>
  <si>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</si>
  <si>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</si>
  <si>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</si>
  <si>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</si>
  <si>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</si>
  <si>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</si>
  <si>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</si>
  <si>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</si>
  <si>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</si>
  <si>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</si>
  <si>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</si>
  <si>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</si>
  <si>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</si>
  <si>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</si>
  <si>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</si>
  <si>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</si>
  <si>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</si>
  <si>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</si>
  <si>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</si>
  <si>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</si>
  <si>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</si>
  <si>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</si>
  <si>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</si>
  <si>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</si>
  <si>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</si>
  <si>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</si>
  <si>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</si>
  <si>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</si>
  <si>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</si>
  <si>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</si>
  <si>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</si>
  <si>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</si>
  <si>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</si>
  <si>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</si>
  <si>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</si>
  <si>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</si>
  <si>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</si>
  <si>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</si>
  <si>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</si>
  <si>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</si>
  <si>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</si>
  <si>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</si>
  <si>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</si>
  <si>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</si>
  <si>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</si>
  <si>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</si>
  <si>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</si>
  <si>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</si>
  <si>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</si>
  <si>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</si>
  <si>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</si>
  <si>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</si>
  <si>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</si>
  <si>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</si>
  <si>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</si>
  <si>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</si>
  <si>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</si>
  <si>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</si>
  <si>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</si>
  <si>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</si>
  <si>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</si>
  <si>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</si>
  <si>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</si>
  <si>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</si>
  <si>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</si>
  <si>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</si>
  <si>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</si>
  <si>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</si>
  <si>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</si>
  <si>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</si>
  <si>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</si>
  <si>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</si>
  <si>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</si>
  <si>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</si>
  <si>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</si>
  <si>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</si>
  <si>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</si>
  <si>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</si>
  <si>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</si>
  <si>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</si>
  <si>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</si>
  <si>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</si>
  <si>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</si>
  <si>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</si>
  <si>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</si>
  <si>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</si>
  <si>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</si>
  <si>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</si>
  <si>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</si>
  <si>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</si>
  <si>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</si>
  <si>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</si>
  <si>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</si>
  <si>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</si>
  <si>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</si>
  <si>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</si>
  <si>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</si>
  <si>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</si>
  <si>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</si>
  <si>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</si>
  <si>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</si>
  <si>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</si>
  <si>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</si>
  <si>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</si>
  <si>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</si>
  <si>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</si>
  <si>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</si>
  <si>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</si>
  <si>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</si>
  <si>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</si>
  <si>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</si>
  <si>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</si>
  <si>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</si>
  <si>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</si>
  <si>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</si>
  <si>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</si>
  <si>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</si>
  <si>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</si>
  <si>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</si>
  <si>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</si>
  <si>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</si>
  <si>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</si>
  <si>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Distribution</t>
  </si>
  <si>
    <t>Other</t>
  </si>
  <si>
    <t>Sub-total</t>
  </si>
  <si>
    <t>Production Plant</t>
  </si>
  <si>
    <t>Transmission Plant</t>
  </si>
  <si>
    <t>Washington Transmission Plant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</si>
  <si>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</si>
  <si>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</si>
  <si>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</si>
  <si>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</si>
  <si>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</si>
  <si>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</si>
  <si>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</si>
  <si>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</si>
  <si>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</si>
  <si>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</si>
  <si>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</si>
  <si>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</si>
  <si>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</si>
  <si>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</si>
  <si>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</si>
  <si>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</si>
  <si>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</si>
  <si>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</si>
  <si>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</si>
  <si>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</si>
  <si>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</si>
  <si>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</si>
  <si>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</si>
  <si>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</si>
  <si>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</si>
  <si>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</si>
  <si>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</si>
  <si>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</si>
  <si>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</si>
  <si>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</si>
  <si>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</si>
  <si>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</si>
  <si>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</si>
  <si>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</si>
  <si>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</si>
  <si>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</si>
  <si>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</si>
  <si>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</si>
  <si>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</si>
  <si>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</si>
  <si>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</si>
  <si>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</si>
  <si>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</si>
  <si>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</si>
  <si>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</si>
  <si>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</si>
  <si>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</si>
  <si>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</si>
  <si>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</si>
  <si>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</si>
  <si>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</si>
  <si>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</si>
  <si>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</si>
  <si>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</si>
  <si>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</si>
  <si>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</si>
  <si>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</si>
  <si>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</si>
  <si>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</si>
  <si>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</si>
  <si>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</si>
  <si>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</si>
  <si>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</si>
  <si>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</si>
  <si>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</si>
  <si>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</si>
  <si>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</si>
  <si>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</si>
  <si>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</si>
  <si>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</si>
  <si>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</si>
  <si>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</si>
  <si>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</si>
  <si>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</si>
  <si>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</si>
  <si>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</si>
  <si>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</si>
  <si>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</si>
  <si>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</si>
  <si>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</si>
  <si>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</si>
  <si>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</si>
  <si>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</si>
  <si>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</si>
  <si>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</si>
  <si>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</si>
  <si>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</si>
  <si>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</si>
  <si>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</si>
  <si>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</si>
  <si>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</si>
  <si>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</si>
  <si>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</si>
  <si>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</si>
  <si>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</si>
  <si>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</si>
  <si>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</si>
  <si>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</si>
  <si>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</si>
  <si>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</si>
  <si>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</si>
  <si>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</si>
  <si>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</si>
  <si>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</si>
  <si>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</si>
  <si>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</si>
  <si>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</si>
  <si>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</si>
  <si>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</si>
  <si>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</si>
  <si>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</si>
  <si>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</si>
  <si>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</si>
  <si>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</si>
  <si>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</si>
  <si>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</si>
  <si>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</si>
  <si>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</si>
  <si>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</si>
  <si>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</si>
  <si>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</si>
  <si>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</si>
  <si>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</si>
  <si>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</si>
  <si>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</si>
  <si>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</si>
  <si>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</si>
  <si>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</si>
  <si>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</si>
  <si>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</si>
  <si>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</si>
  <si>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</si>
  <si>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</si>
  <si>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</si>
  <si>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</si>
  <si>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</si>
  <si>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</si>
  <si>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</si>
  <si>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</si>
  <si>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</si>
  <si>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</si>
  <si>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</si>
  <si>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</si>
  <si>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</si>
  <si>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</si>
  <si>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</si>
  <si>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</si>
  <si>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</si>
  <si>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</si>
  <si>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</si>
  <si>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</si>
  <si>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</si>
  <si>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</si>
  <si>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</si>
  <si>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</si>
  <si>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</si>
  <si>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</si>
  <si>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</si>
  <si>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</si>
  <si>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</si>
  <si>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</si>
  <si>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</si>
  <si>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</si>
  <si>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</si>
  <si>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</si>
  <si>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</si>
  <si>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</si>
  <si>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</si>
  <si>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</si>
  <si>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</si>
  <si>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</si>
  <si>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</si>
  <si>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</si>
  <si>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</si>
  <si>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</si>
  <si>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</si>
  <si>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</si>
  <si>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</si>
  <si>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</si>
  <si>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</si>
  <si>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</si>
  <si>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</si>
  <si>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</si>
  <si>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</si>
  <si>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</si>
  <si>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</si>
  <si>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</si>
  <si>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</si>
  <si>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</si>
  <si>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</si>
  <si>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</si>
  <si>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</si>
  <si>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</si>
  <si>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</si>
  <si>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</si>
  <si>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</si>
  <si>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</si>
  <si>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</si>
  <si>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</si>
  <si>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</si>
  <si>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</si>
  <si>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</si>
  <si>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</si>
  <si>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</si>
  <si>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</si>
  <si>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</si>
  <si>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</si>
  <si>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</si>
  <si>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</si>
  <si>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</si>
  <si>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</si>
  <si>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</si>
  <si>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</si>
  <si>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</si>
  <si>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</si>
  <si>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</si>
  <si>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</si>
  <si>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</si>
  <si>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</si>
  <si>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</si>
  <si>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</si>
  <si>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</si>
  <si>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</si>
  <si>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</si>
  <si>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</si>
  <si>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</si>
  <si>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</si>
  <si>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</si>
  <si>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</si>
  <si>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</si>
  <si>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</si>
  <si>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</si>
  <si>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</si>
  <si>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</si>
  <si>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</si>
  <si>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</si>
  <si>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</si>
  <si>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</si>
  <si>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</si>
  <si>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</si>
  <si>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</si>
  <si>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</si>
  <si>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</si>
  <si>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</si>
  <si>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</si>
  <si>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</si>
  <si>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</si>
  <si>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</si>
  <si>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</si>
  <si>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</si>
  <si>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</si>
  <si>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</si>
  <si>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</si>
  <si>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</si>
  <si>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</si>
  <si>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</si>
  <si>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</si>
  <si>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</si>
  <si>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</si>
  <si>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</si>
  <si>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</si>
  <si>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</si>
  <si>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</si>
  <si>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</si>
  <si>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</si>
  <si>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</si>
  <si>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</si>
  <si>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</si>
  <si>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</si>
  <si>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</si>
  <si>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</si>
  <si>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</si>
  <si>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</si>
  <si>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</si>
  <si>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</si>
  <si>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</si>
  <si>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</si>
  <si>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</si>
  <si>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</si>
  <si>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</si>
  <si>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</si>
  <si>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</si>
  <si>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</si>
  <si>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</si>
  <si>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</si>
  <si>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</si>
  <si>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</si>
  <si>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</si>
  <si>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</si>
  <si>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</si>
  <si>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</si>
  <si>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</si>
  <si>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</si>
  <si>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</si>
  <si>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</si>
  <si>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</si>
  <si>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</si>
  <si>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</si>
  <si>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</si>
  <si>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</si>
  <si>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</si>
  <si>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</si>
  <si>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</si>
  <si>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</si>
  <si>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</si>
  <si>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</si>
  <si>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</si>
  <si>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</si>
  <si>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</si>
  <si>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</si>
  <si>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</si>
  <si>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</si>
  <si>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</si>
  <si>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</si>
  <si>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</si>
  <si>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</si>
  <si>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</si>
  <si>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</si>
  <si>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</si>
  <si>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</si>
  <si>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</si>
  <si>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</si>
  <si>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</si>
  <si>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</si>
  <si>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</si>
  <si>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</si>
  <si>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</si>
  <si>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</si>
  <si>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</si>
  <si>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</si>
  <si>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</si>
  <si>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</si>
  <si>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</si>
  <si>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</si>
  <si>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</si>
  <si>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</si>
  <si>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</si>
  <si>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</si>
  <si>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</si>
  <si>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</si>
  <si>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</si>
  <si>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</si>
  <si>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 xml:space="preserve">     Total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</si>
  <si>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</si>
  <si>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</si>
  <si>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</si>
  <si>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</si>
  <si>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</si>
  <si>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</si>
  <si>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</si>
  <si>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</si>
  <si>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</si>
  <si>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</si>
  <si>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</si>
  <si>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</si>
  <si>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</si>
  <si>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</si>
  <si>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</si>
  <si>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</si>
  <si>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</si>
  <si>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</si>
  <si>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</si>
  <si>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</si>
  <si>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</si>
  <si>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</si>
  <si>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</si>
  <si>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</si>
  <si>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Current Revenue to Cost Ratio</t>
  </si>
  <si>
    <t>Parity Ratio</t>
  </si>
  <si>
    <t>PSE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</si>
  <si>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</si>
  <si>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</si>
  <si>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</si>
  <si>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</si>
  <si>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</si>
  <si>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</si>
  <si>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</si>
  <si>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</si>
  <si>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</si>
  <si>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</si>
  <si>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</si>
  <si>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>Prob. Of Dispatch - Gen. Gross Plt. - TY Loads</t>
  </si>
  <si>
    <t>Prob. Of Dispatch - Gen. Accum. Depr. - TY Loads</t>
  </si>
  <si>
    <t>Prob. Of Dispatch - Gen. Depr. Exp. - TY Loads</t>
  </si>
  <si>
    <t>Time Differentiated Fuel Costs Adj. TY Loads</t>
  </si>
  <si>
    <t>Probability of Dispatch - Gross Plant</t>
  </si>
  <si>
    <t>Taxable Income</t>
  </si>
  <si>
    <t>Hourly Trans. Gross Plt. - TY Loads</t>
  </si>
  <si>
    <t>Hourly Trans. Accum. Depr.  - TY Loads</t>
  </si>
  <si>
    <t>Hourly Trans. Depr. Exp. - TY Loads</t>
  </si>
  <si>
    <t>Alloc</t>
  </si>
  <si>
    <t xml:space="preserve">     Federal Income Taxes @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</si>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</sst>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164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left" wrapText="1"/>
    </xf>
    <xf numFmtId="0" fontId="6" fillId="3" borderId="0" xfId="0" applyFont="1" applyFill="1"/>
    <xf numFmtId="41" fontId="6" fillId="0" borderId="0" xfId="0" applyNumberFormat="1" applyFont="1" applyAlignment="1">
      <alignment horizontal="left" wrapText="1"/>
    </xf>
    <xf numFmtId="165" fontId="7" fillId="4" borderId="2" xfId="1" applyNumberFormat="1" applyFont="1" applyFill="1" applyBorder="1" applyAlignment="1">
      <alignment horizontal="left"/>
    </xf>
    <xf numFmtId="41" fontId="6" fillId="3" borderId="3" xfId="4" applyNumberFormat="1" applyFont="1" applyFill="1" applyBorder="1"/>
    <xf numFmtId="41" fontId="6" fillId="3" borderId="0" xfId="0" applyNumberFormat="1" applyFont="1" applyFill="1"/>
    <xf numFmtId="165" fontId="6" fillId="5" borderId="4" xfId="1" applyNumberFormat="1" applyFont="1" applyFill="1" applyBorder="1" applyAlignment="1">
      <alignment horizontal="left"/>
    </xf>
    <xf numFmtId="165" fontId="7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7" fillId="4" borderId="0" xfId="0" applyNumberFormat="1" applyFont="1" applyFill="1" applyAlignment="1">
      <alignment horizontal="left" wrapText="1"/>
    </xf>
    <xf numFmtId="0" fontId="8" fillId="0" borderId="0" xfId="0" applyFont="1"/>
    <xf numFmtId="165" fontId="9" fillId="0" borderId="2" xfId="1" applyNumberFormat="1" applyFont="1" applyFill="1" applyBorder="1" applyAlignment="1">
      <alignment horizontal="left"/>
    </xf>
    <xf numFmtId="41" fontId="9" fillId="3" borderId="0" xfId="4" applyNumberFormat="1" applyFont="1" applyFill="1" applyBorder="1"/>
    <xf numFmtId="0" fontId="6" fillId="0" borderId="0" xfId="0" applyFont="1" applyFill="1"/>
    <xf numFmtId="166" fontId="6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5" fillId="0" borderId="5" xfId="2" applyNumberFormat="1" applyFont="1" applyFill="1" applyBorder="1" applyAlignment="1">
      <alignment horizontal="center"/>
    </xf>
    <xf numFmtId="0" fontId="5" fillId="0" borderId="6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5" fillId="0" borderId="6" xfId="2" applyNumberFormat="1" applyFont="1" applyFill="1" applyBorder="1" applyAlignment="1">
      <alignment horizontal="center"/>
    </xf>
    <xf numFmtId="167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0" fillId="0" borderId="7" xfId="0" applyBorder="1"/>
    <xf numFmtId="165" fontId="6" fillId="0" borderId="0" xfId="1" applyNumberFormat="1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5" fillId="0" borderId="5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8" fillId="0" borderId="0" xfId="1" applyNumberFormat="1" applyFont="1"/>
    <xf numFmtId="2" fontId="6" fillId="0" borderId="0" xfId="0" applyNumberFormat="1" applyFont="1" applyFill="1"/>
    <xf numFmtId="0" fontId="0" fillId="0" borderId="0" xfId="0" applyFill="1" applyBorder="1"/>
    <xf numFmtId="0" fontId="6" fillId="0" borderId="0" xfId="0" applyFont="1" applyFill="1" applyBorder="1"/>
    <xf numFmtId="167" fontId="6" fillId="0" borderId="0" xfId="0" applyNumberFormat="1" applyFont="1" applyFill="1" applyBorder="1"/>
    <xf numFmtId="0" fontId="0" fillId="0" borderId="7" xfId="0" applyFill="1" applyBorder="1"/>
    <xf numFmtId="165" fontId="0" fillId="0" borderId="0" xfId="1" applyNumberFormat="1" applyFont="1" applyFill="1"/>
    <xf numFmtId="165" fontId="6" fillId="0" borderId="0" xfId="1" applyNumberFormat="1" applyFont="1" applyFill="1" applyBorder="1" applyAlignment="1"/>
    <xf numFmtId="165" fontId="5" fillId="0" borderId="5" xfId="1" applyNumberFormat="1" applyFont="1" applyFill="1" applyBorder="1" applyAlignment="1"/>
    <xf numFmtId="165" fontId="5" fillId="0" borderId="6" xfId="1" applyNumberFormat="1" applyFont="1" applyFill="1" applyBorder="1" applyAlignment="1"/>
    <xf numFmtId="165" fontId="6" fillId="0" borderId="0" xfId="1" applyNumberFormat="1" applyFont="1" applyFill="1"/>
    <xf numFmtId="9" fontId="0" fillId="0" borderId="0" xfId="3" applyFont="1" applyFill="1"/>
    <xf numFmtId="0" fontId="0" fillId="0" borderId="5" xfId="0" applyFill="1" applyBorder="1"/>
    <xf numFmtId="165" fontId="0" fillId="0" borderId="5" xfId="1" applyNumberFormat="1" applyFont="1" applyFill="1" applyBorder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Border="1" applyAlignment="1"/>
    <xf numFmtId="0" fontId="4" fillId="0" borderId="0" xfId="0" applyFont="1"/>
    <xf numFmtId="1" fontId="8" fillId="0" borderId="0" xfId="0" applyNumberFormat="1" applyFont="1"/>
    <xf numFmtId="165" fontId="5" fillId="0" borderId="0" xfId="0" applyNumberFormat="1" applyFont="1" applyFill="1"/>
    <xf numFmtId="0" fontId="10" fillId="0" borderId="0" xfId="0" applyFont="1" applyFill="1"/>
    <xf numFmtId="165" fontId="10" fillId="0" borderId="0" xfId="1" applyNumberFormat="1" applyFont="1" applyFill="1"/>
    <xf numFmtId="9" fontId="10" fillId="0" borderId="0" xfId="3" applyFont="1" applyFill="1"/>
    <xf numFmtId="165" fontId="10" fillId="0" borderId="0" xfId="1" applyNumberFormat="1" applyFont="1"/>
    <xf numFmtId="0" fontId="10" fillId="0" borderId="5" xfId="0" applyFont="1" applyFill="1" applyBorder="1"/>
    <xf numFmtId="165" fontId="10" fillId="0" borderId="5" xfId="1" applyNumberFormat="1" applyFont="1" applyFill="1" applyBorder="1"/>
    <xf numFmtId="165" fontId="11" fillId="0" borderId="0" xfId="1" applyNumberFormat="1" applyFont="1"/>
    <xf numFmtId="165" fontId="4" fillId="0" borderId="5" xfId="0" applyNumberFormat="1" applyFont="1" applyFill="1" applyBorder="1"/>
    <xf numFmtId="0" fontId="0" fillId="0" borderId="6" xfId="0" applyFill="1" applyBorder="1"/>
    <xf numFmtId="0" fontId="10" fillId="0" borderId="0" xfId="0" applyFont="1"/>
    <xf numFmtId="2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2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/>
    <xf numFmtId="167" fontId="13" fillId="0" borderId="0" xfId="2" applyNumberFormat="1" applyFont="1" applyFill="1" applyBorder="1" applyAlignment="1"/>
    <xf numFmtId="2" fontId="5" fillId="0" borderId="5" xfId="0" applyNumberFormat="1" applyFont="1" applyFill="1" applyBorder="1"/>
    <xf numFmtId="167" fontId="5" fillId="0" borderId="5" xfId="2" applyNumberFormat="1" applyFont="1" applyFill="1" applyBorder="1" applyAlignment="1"/>
    <xf numFmtId="2" fontId="5" fillId="0" borderId="6" xfId="0" applyNumberFormat="1" applyFont="1" applyFill="1" applyBorder="1"/>
    <xf numFmtId="167" fontId="13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3" fillId="0" borderId="0" xfId="0" applyFont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8" fillId="0" borderId="0" xfId="0" applyNumberFormat="1" applyFont="1"/>
    <xf numFmtId="167" fontId="0" fillId="0" borderId="0" xfId="0" applyNumberFormat="1"/>
    <xf numFmtId="165" fontId="10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4" fillId="0" borderId="6" xfId="0" applyFont="1" applyFill="1" applyBorder="1"/>
    <xf numFmtId="165" fontId="4" fillId="0" borderId="6" xfId="0" applyNumberFormat="1" applyFont="1" applyFill="1" applyBorder="1"/>
    <xf numFmtId="0" fontId="4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0" xfId="5" applyFont="1"/>
    <xf numFmtId="167" fontId="6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10" fillId="0" borderId="0" xfId="1" applyNumberFormat="1" applyFont="1"/>
    <xf numFmtId="167" fontId="6" fillId="0" borderId="0" xfId="0" applyNumberFormat="1" applyFont="1" applyFill="1" applyAlignment="1">
      <alignment horizontal="center"/>
    </xf>
    <xf numFmtId="167" fontId="12" fillId="0" borderId="0" xfId="1" applyNumberFormat="1" applyFont="1" applyFill="1" applyAlignment="1">
      <alignment horizontal="center"/>
    </xf>
    <xf numFmtId="167" fontId="5" fillId="0" borderId="5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9" fontId="9" fillId="0" borderId="0" xfId="0" applyNumberFormat="1" applyFont="1" applyFill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5" fontId="3" fillId="0" borderId="0" xfId="1" applyNumberFormat="1" applyFont="1"/>
    <xf numFmtId="167" fontId="3" fillId="0" borderId="0" xfId="0" applyNumberFormat="1" applyFont="1"/>
    <xf numFmtId="9" fontId="3" fillId="0" borderId="0" xfId="3" applyFont="1" applyFill="1"/>
    <xf numFmtId="165" fontId="9" fillId="0" borderId="0" xfId="1" applyNumberFormat="1" applyFont="1" applyFill="1" applyBorder="1" applyAlignment="1"/>
    <xf numFmtId="165" fontId="3" fillId="0" borderId="0" xfId="0" applyNumberFormat="1" applyFont="1" applyFill="1"/>
    <xf numFmtId="0" fontId="16" fillId="0" borderId="0" xfId="0" applyFont="1" applyFill="1"/>
    <xf numFmtId="167" fontId="10" fillId="0" borderId="0" xfId="0" applyNumberFormat="1" applyFont="1"/>
    <xf numFmtId="0" fontId="4" fillId="0" borderId="0" xfId="0" applyFont="1" applyFill="1" applyAlignment="1">
      <alignment horizontal="center"/>
    </xf>
    <xf numFmtId="0" fontId="17" fillId="0" borderId="0" xfId="0" applyFont="1"/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/>
    </xf>
    <xf numFmtId="0" fontId="10" fillId="0" borderId="0" xfId="0" applyFont="1" applyFill="1" applyBorder="1"/>
    <xf numFmtId="10" fontId="10" fillId="0" borderId="0" xfId="3" applyNumberFormat="1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0" fontId="0" fillId="0" borderId="0" xfId="0" applyAlignment="1">
      <alignment horizontal="center"/>
    </xf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Cases/19%20CASES/1921%20Puget%20Sound%20-%20RD/GAW%20Work/CCOSS/Probability%20of%20Dispatch/GAW%20Analysi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11" t="s">
        <v>566</v>
      </c>
    </row>
    <row r="4" spans="1:1" x14ac:dyDescent="0.25">
      <c r="A4" s="111" t="s">
        <v>567</v>
      </c>
    </row>
    <row r="5" spans="1:1" x14ac:dyDescent="0.25">
      <c r="A5" s="111" t="s">
        <v>568</v>
      </c>
    </row>
    <row r="6" spans="1:1" x14ac:dyDescent="0.25">
      <c r="A6" s="111" t="s">
        <v>569</v>
      </c>
    </row>
    <row r="7" spans="1:1" x14ac:dyDescent="0.25">
      <c r="A7" s="111" t="s">
        <v>570</v>
      </c>
    </row>
    <row r="8" spans="1:1" x14ac:dyDescent="0.25">
      <c r="A8" s="111" t="s">
        <v>571</v>
      </c>
    </row>
    <row r="9" spans="1:1" x14ac:dyDescent="0.25">
      <c r="A9" s="111" t="s">
        <v>572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dimension ref="A1:T62"/>
  <sheetViews>
    <sheetView tabSelected="1" workbookViewId="0">
      <selection activeCell="L53" sqref="L53:M54"/>
    </sheetView>
  </sheetViews>
  <sheetFormatPr defaultRowHeight="15" x14ac:dyDescent="0.25"/>
  <cols>
    <col min="1" max="1" width="20.5703125" style="44" customWidth="1"/>
    <col min="2" max="2" width="13.28515625" style="44" customWidth="1"/>
    <col min="3" max="3" width="14.42578125" style="44" customWidth="1"/>
    <col min="4" max="4" width="11.28515625" style="44" customWidth="1"/>
    <col min="5" max="5" width="9.140625" style="44"/>
    <col min="6" max="6" width="18" style="44" bestFit="1" customWidth="1"/>
    <col min="7" max="7" width="15" style="44" bestFit="1" customWidth="1"/>
    <col min="8" max="8" width="14.28515625" style="44" bestFit="1" customWidth="1"/>
    <col min="9" max="9" width="13.85546875" style="44" customWidth="1"/>
    <col min="10" max="11" width="13.42578125" style="44" bestFit="1" customWidth="1"/>
    <col min="12" max="13" width="13.42578125" style="44" customWidth="1"/>
    <col min="14" max="14" width="13.7109375" style="44" bestFit="1" customWidth="1"/>
    <col min="15" max="15" width="14.5703125" style="44" bestFit="1" customWidth="1"/>
    <col min="16" max="16" width="13.7109375" style="44" bestFit="1" customWidth="1"/>
    <col min="17" max="18" width="14.5703125" style="44" bestFit="1" customWidth="1"/>
    <col min="19" max="16384" width="9.140625" style="44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>L1+1</f>
        <v>11</v>
      </c>
      <c r="N1" s="19">
        <f t="shared" ref="N1:R1" si="0">M1+1</f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ht="51" x14ac:dyDescent="0.25">
      <c r="A4" s="19"/>
      <c r="B4" s="19"/>
      <c r="C4" s="110" t="s">
        <v>561</v>
      </c>
      <c r="D4" s="110" t="s">
        <v>318</v>
      </c>
      <c r="E4" s="19"/>
      <c r="F4" s="107"/>
      <c r="G4" s="108" t="s">
        <v>311</v>
      </c>
      <c r="H4" s="108" t="s">
        <v>312</v>
      </c>
      <c r="I4" s="108" t="s">
        <v>313</v>
      </c>
      <c r="J4" s="108" t="s">
        <v>314</v>
      </c>
      <c r="K4" s="108" t="s">
        <v>584</v>
      </c>
      <c r="L4" s="108" t="s">
        <v>585</v>
      </c>
      <c r="M4" s="108" t="s">
        <v>586</v>
      </c>
      <c r="N4" s="108" t="s">
        <v>9</v>
      </c>
      <c r="O4" s="108" t="s">
        <v>315</v>
      </c>
      <c r="P4" s="108" t="s">
        <v>316</v>
      </c>
      <c r="Q4" s="108" t="s">
        <v>317</v>
      </c>
      <c r="R4" s="108" t="s">
        <v>13</v>
      </c>
      <c r="T4" s="108" t="s">
        <v>530</v>
      </c>
    </row>
    <row r="5" spans="1:20" customFormat="1" ht="25.5" x14ac:dyDescent="0.25">
      <c r="A5" s="47"/>
      <c r="B5" s="35"/>
      <c r="C5" s="106" t="s">
        <v>181</v>
      </c>
      <c r="D5" s="106" t="s">
        <v>319</v>
      </c>
      <c r="E5" s="47"/>
      <c r="F5" s="106" t="s">
        <v>1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20" customFormat="1" x14ac:dyDescent="0.25"/>
    <row r="7" spans="1:20" customFormat="1" x14ac:dyDescent="0.25"/>
    <row r="8" spans="1:20" x14ac:dyDescent="0.25">
      <c r="A8" t="s">
        <v>531</v>
      </c>
      <c r="F8" s="91">
        <f>SUM(G8:R8)</f>
        <v>1997002383.941232</v>
      </c>
      <c r="G8" s="91">
        <f>Revenue!G15</f>
        <v>1105896513.2900393</v>
      </c>
      <c r="H8" s="91">
        <f>Revenue!H15</f>
        <v>263390391.2140398</v>
      </c>
      <c r="I8" s="91">
        <f>Revenue!I15</f>
        <v>270703257.2199825</v>
      </c>
      <c r="J8" s="91">
        <f>Revenue!J15</f>
        <v>160280839.13024956</v>
      </c>
      <c r="K8" s="91">
        <f>Revenue!K15</f>
        <v>113255219.09203497</v>
      </c>
      <c r="L8" s="91">
        <f>Revenue!L15</f>
        <v>268014.00021779712</v>
      </c>
      <c r="M8" s="91">
        <f>Revenue!M15</f>
        <v>10687146.00868473</v>
      </c>
      <c r="N8" s="91">
        <f>Revenue!N15</f>
        <v>5493553</v>
      </c>
      <c r="O8" s="91">
        <f>Revenue!O15</f>
        <v>40128244.032609545</v>
      </c>
      <c r="P8" s="91">
        <f>Revenue!P15</f>
        <v>10117371.780000001</v>
      </c>
      <c r="Q8" s="91">
        <f>Revenue!Q15</f>
        <v>16457494.013373908</v>
      </c>
      <c r="R8" s="91">
        <f>Revenue!R15</f>
        <v>324341.16000000003</v>
      </c>
      <c r="T8" s="94">
        <f>F8-SUM(G8:R8)</f>
        <v>0</v>
      </c>
    </row>
    <row r="9" spans="1:20" x14ac:dyDescent="0.25">
      <c r="A9" t="s">
        <v>532</v>
      </c>
      <c r="F9" s="91">
        <f t="shared" ref="F9" si="1">SUM(G9:R9)</f>
        <v>5469488.0226491969</v>
      </c>
      <c r="G9" s="91">
        <f>Revenue!G20</f>
        <v>2784913.5671004988</v>
      </c>
      <c r="H9" s="91">
        <f>Revenue!H20</f>
        <v>733588.36501526379</v>
      </c>
      <c r="I9" s="91">
        <f>Revenue!I20</f>
        <v>818267.7650700917</v>
      </c>
      <c r="J9" s="91">
        <f>Revenue!J20</f>
        <v>542125.66273113096</v>
      </c>
      <c r="K9" s="91">
        <f>Revenue!K20</f>
        <v>373094.61165745213</v>
      </c>
      <c r="L9" s="91">
        <f>Revenue!L20</f>
        <v>1360.3081114149275</v>
      </c>
      <c r="M9" s="91">
        <f>Revenue!M20</f>
        <v>28587.273942330386</v>
      </c>
      <c r="N9" s="91">
        <f>Revenue!N20</f>
        <v>0</v>
      </c>
      <c r="O9" s="91">
        <f>Revenue!O20</f>
        <v>164988.40144183877</v>
      </c>
      <c r="P9" s="91">
        <f>Revenue!P20</f>
        <v>0</v>
      </c>
      <c r="Q9" s="91">
        <f>Revenue!Q20</f>
        <v>20771.431600583135</v>
      </c>
      <c r="R9" s="91">
        <f>Revenue!R20</f>
        <v>1790.6359785939287</v>
      </c>
      <c r="T9" s="94">
        <f t="shared" ref="T9:T60" si="2">F9-SUM(G9:R9)</f>
        <v>0</v>
      </c>
    </row>
    <row r="10" spans="1:20" x14ac:dyDescent="0.25">
      <c r="A10" s="36" t="s">
        <v>533</v>
      </c>
      <c r="B10" s="47"/>
      <c r="C10" s="47"/>
      <c r="D10" s="47"/>
      <c r="E10" s="47"/>
      <c r="F10" s="92">
        <f>SUM(G10:R10)</f>
        <v>76831178.983163401</v>
      </c>
      <c r="G10" s="92">
        <f>Revenue!G54</f>
        <v>41037037.342681311</v>
      </c>
      <c r="H10" s="92">
        <f>Revenue!H54</f>
        <v>10993162.753491532</v>
      </c>
      <c r="I10" s="92">
        <f>Revenue!I54</f>
        <v>8310273.626649214</v>
      </c>
      <c r="J10" s="92">
        <f>Revenue!J54</f>
        <v>5117729.1063556289</v>
      </c>
      <c r="K10" s="92">
        <f>Revenue!K54</f>
        <v>4059226.2809132556</v>
      </c>
      <c r="L10" s="92">
        <f>Revenue!L54</f>
        <v>19122.214854004345</v>
      </c>
      <c r="M10" s="92">
        <f>Revenue!M54</f>
        <v>346897.3191762889</v>
      </c>
      <c r="N10" s="92">
        <f>Revenue!N54</f>
        <v>1110961.7723388576</v>
      </c>
      <c r="O10" s="92">
        <f>Revenue!O54</f>
        <v>4441937.7065975005</v>
      </c>
      <c r="P10" s="92">
        <f>Revenue!P54</f>
        <v>1077738.3650382054</v>
      </c>
      <c r="Q10" s="92">
        <f>Revenue!Q54</f>
        <v>292353.24062874768</v>
      </c>
      <c r="R10" s="92">
        <f>Revenue!R54</f>
        <v>24739.254438858403</v>
      </c>
      <c r="T10" s="94">
        <f t="shared" si="2"/>
        <v>0</v>
      </c>
    </row>
    <row r="11" spans="1:20" x14ac:dyDescent="0.25">
      <c r="A11" s="59" t="s">
        <v>534</v>
      </c>
      <c r="F11" s="91">
        <f>SUM(F8:F10)</f>
        <v>2079303050.9470446</v>
      </c>
      <c r="G11" s="91">
        <f t="shared" ref="G11:R11" si="3">SUM(G8:G10)</f>
        <v>1149718464.1998212</v>
      </c>
      <c r="H11" s="91">
        <f t="shared" si="3"/>
        <v>275117142.33254659</v>
      </c>
      <c r="I11" s="91">
        <f t="shared" si="3"/>
        <v>279831798.61170179</v>
      </c>
      <c r="J11" s="91">
        <f t="shared" si="3"/>
        <v>165940693.89933634</v>
      </c>
      <c r="K11" s="91">
        <f t="shared" si="3"/>
        <v>117687539.98460567</v>
      </c>
      <c r="L11" s="91">
        <f t="shared" si="3"/>
        <v>288496.5231832164</v>
      </c>
      <c r="M11" s="91">
        <f t="shared" si="3"/>
        <v>11062630.601803349</v>
      </c>
      <c r="N11" s="91">
        <f t="shared" si="3"/>
        <v>6604514.7723388579</v>
      </c>
      <c r="O11" s="91">
        <f t="shared" si="3"/>
        <v>44735170.140648887</v>
      </c>
      <c r="P11" s="91">
        <f t="shared" si="3"/>
        <v>11195110.145038206</v>
      </c>
      <c r="Q11" s="91">
        <f t="shared" si="3"/>
        <v>16770618.685603239</v>
      </c>
      <c r="R11" s="91">
        <f t="shared" si="3"/>
        <v>350871.05041745241</v>
      </c>
      <c r="T11" s="94">
        <f t="shared" si="2"/>
        <v>0</v>
      </c>
    </row>
    <row r="12" spans="1:20" x14ac:dyDescent="0.25">
      <c r="A12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T12" s="94">
        <f t="shared" si="2"/>
        <v>0</v>
      </c>
    </row>
    <row r="13" spans="1:20" x14ac:dyDescent="0.25">
      <c r="A13" t="s">
        <v>535</v>
      </c>
      <c r="F13" s="91">
        <f t="shared" ref="F13:F15" si="4">SUM(G13:R13)</f>
        <v>1143200417.3098583</v>
      </c>
      <c r="G13" s="91">
        <f>Expenses!G105</f>
        <v>624291887.68451464</v>
      </c>
      <c r="H13" s="91">
        <f>Expenses!H105</f>
        <v>148968145.30713654</v>
      </c>
      <c r="I13" s="91">
        <f>Expenses!I105</f>
        <v>153408721.51490018</v>
      </c>
      <c r="J13" s="91">
        <f>Expenses!J105</f>
        <v>98860644.166506246</v>
      </c>
      <c r="K13" s="91">
        <f>Expenses!K105</f>
        <v>69938614.200078219</v>
      </c>
      <c r="L13" s="91">
        <f>Expenses!L105</f>
        <v>313479.74876232649</v>
      </c>
      <c r="M13" s="91">
        <f>Expenses!M105</f>
        <v>6314800.2470203442</v>
      </c>
      <c r="N13" s="91">
        <f>Expenses!N105</f>
        <v>1492324.9644582265</v>
      </c>
      <c r="O13" s="91">
        <f>Expenses!O105</f>
        <v>28842226.287583083</v>
      </c>
      <c r="P13" s="91">
        <f>Expenses!P105</f>
        <v>2981877.1586309238</v>
      </c>
      <c r="Q13" s="91">
        <f>Expenses!Q105</f>
        <v>7434216.6376406066</v>
      </c>
      <c r="R13" s="91">
        <f>Expenses!R105</f>
        <v>353479.39262699382</v>
      </c>
      <c r="T13" s="94">
        <f t="shared" si="2"/>
        <v>0</v>
      </c>
    </row>
    <row r="14" spans="1:20" x14ac:dyDescent="0.25">
      <c r="A14" t="s">
        <v>536</v>
      </c>
      <c r="F14" s="91">
        <f t="shared" si="4"/>
        <v>497013983.85999936</v>
      </c>
      <c r="G14" s="91">
        <f>Expenses!G151</f>
        <v>288085626.79218417</v>
      </c>
      <c r="H14" s="91">
        <f>Expenses!H151</f>
        <v>62799995.783945754</v>
      </c>
      <c r="I14" s="91">
        <f>Expenses!I151</f>
        <v>59642644.781053208</v>
      </c>
      <c r="J14" s="91">
        <f>Expenses!J151</f>
        <v>34902559.954939641</v>
      </c>
      <c r="K14" s="91">
        <f>Expenses!K151</f>
        <v>26152334.162770808</v>
      </c>
      <c r="L14" s="91">
        <f>Expenses!L151</f>
        <v>145921.17287117717</v>
      </c>
      <c r="M14" s="91">
        <f>Expenses!M151</f>
        <v>3340473.8754683211</v>
      </c>
      <c r="N14" s="91">
        <f>Expenses!N151</f>
        <v>2072479.5489747215</v>
      </c>
      <c r="O14" s="91">
        <f>Expenses!O151</f>
        <v>9014460.1571244877</v>
      </c>
      <c r="P14" s="91">
        <f>Expenses!P151</f>
        <v>4331027.0723627508</v>
      </c>
      <c r="Q14" s="91">
        <f>Expenses!Q151</f>
        <v>6372937.6853912594</v>
      </c>
      <c r="R14" s="91">
        <f>Expenses!R151</f>
        <v>153522.87291315166</v>
      </c>
      <c r="T14" s="94">
        <f t="shared" si="2"/>
        <v>0</v>
      </c>
    </row>
    <row r="15" spans="1:20" x14ac:dyDescent="0.25">
      <c r="A15" s="36" t="s">
        <v>537</v>
      </c>
      <c r="B15" s="47"/>
      <c r="C15" s="47"/>
      <c r="D15" s="47"/>
      <c r="E15" s="47"/>
      <c r="F15" s="92">
        <f t="shared" si="4"/>
        <v>86495562.504948348</v>
      </c>
      <c r="G15" s="92">
        <f>Expenses!G159</f>
        <v>48225923.445197403</v>
      </c>
      <c r="H15" s="92">
        <f>Expenses!H159</f>
        <v>11332368.559446394</v>
      </c>
      <c r="I15" s="92">
        <f>Expenses!I159</f>
        <v>11550342.361423982</v>
      </c>
      <c r="J15" s="92">
        <f>Expenses!J159</f>
        <v>6841781.8660977138</v>
      </c>
      <c r="K15" s="92">
        <f>Expenses!K159</f>
        <v>4849267.0831925636</v>
      </c>
      <c r="L15" s="92">
        <f>Expenses!L159</f>
        <v>12655.845603953954</v>
      </c>
      <c r="M15" s="92">
        <f>Expenses!M159</f>
        <v>467305.91443267831</v>
      </c>
      <c r="N15" s="92">
        <f>Expenses!N159</f>
        <v>260506.2725150772</v>
      </c>
      <c r="O15" s="92">
        <f>Expenses!O159</f>
        <v>1720527.9848586824</v>
      </c>
      <c r="P15" s="92">
        <f>Expenses!P159</f>
        <v>467808.94622778485</v>
      </c>
      <c r="Q15" s="92">
        <f>Expenses!Q159</f>
        <v>752049.75969680399</v>
      </c>
      <c r="R15" s="92">
        <f>Expenses!R159</f>
        <v>15024.466255307583</v>
      </c>
      <c r="T15" s="94">
        <f t="shared" si="2"/>
        <v>0</v>
      </c>
    </row>
    <row r="16" spans="1:20" x14ac:dyDescent="0.25">
      <c r="A16" s="59" t="s">
        <v>538</v>
      </c>
      <c r="F16" s="91">
        <f>SUM(F13:F15)</f>
        <v>1726709963.6748061</v>
      </c>
      <c r="G16" s="91">
        <f t="shared" ref="G16:R16" si="5">SUM(G13:G15)</f>
        <v>960603437.92189622</v>
      </c>
      <c r="H16" s="91">
        <f t="shared" si="5"/>
        <v>223100509.65052867</v>
      </c>
      <c r="I16" s="91">
        <f t="shared" si="5"/>
        <v>224601708.65737736</v>
      </c>
      <c r="J16" s="91">
        <f t="shared" si="5"/>
        <v>140604985.98754361</v>
      </c>
      <c r="K16" s="91">
        <f t="shared" si="5"/>
        <v>100940215.44604158</v>
      </c>
      <c r="L16" s="91">
        <f t="shared" si="5"/>
        <v>472056.76723745756</v>
      </c>
      <c r="M16" s="91">
        <f t="shared" si="5"/>
        <v>10122580.036921345</v>
      </c>
      <c r="N16" s="91">
        <f t="shared" si="5"/>
        <v>3825310.7859480251</v>
      </c>
      <c r="O16" s="91">
        <f t="shared" si="5"/>
        <v>39577214.429566257</v>
      </c>
      <c r="P16" s="91">
        <f t="shared" si="5"/>
        <v>7780713.1772214603</v>
      </c>
      <c r="Q16" s="91">
        <f t="shared" si="5"/>
        <v>14559204.082728669</v>
      </c>
      <c r="R16" s="91">
        <f t="shared" si="5"/>
        <v>522026.73179545306</v>
      </c>
      <c r="T16" s="94">
        <f t="shared" si="2"/>
        <v>0</v>
      </c>
    </row>
    <row r="17" spans="1:20" x14ac:dyDescent="0.25">
      <c r="A17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T17" s="94">
        <f t="shared" si="2"/>
        <v>0</v>
      </c>
    </row>
    <row r="18" spans="1:20" x14ac:dyDescent="0.25">
      <c r="A18" t="s">
        <v>539</v>
      </c>
      <c r="F18" s="91">
        <f>F11-F16</f>
        <v>352593087.27223849</v>
      </c>
      <c r="G18" s="91">
        <f t="shared" ref="G18:R18" si="6">G11-G16</f>
        <v>189115026.27792501</v>
      </c>
      <c r="H18" s="91">
        <f t="shared" si="6"/>
        <v>52016632.682017922</v>
      </c>
      <c r="I18" s="91">
        <f t="shared" si="6"/>
        <v>55230089.954324424</v>
      </c>
      <c r="J18" s="91">
        <f t="shared" si="6"/>
        <v>25335707.911792725</v>
      </c>
      <c r="K18" s="91">
        <f t="shared" si="6"/>
        <v>16747324.538564086</v>
      </c>
      <c r="L18" s="91">
        <f t="shared" ref="L18:M18" si="7">L11-L16</f>
        <v>-183560.24405424116</v>
      </c>
      <c r="M18" s="91">
        <f t="shared" si="7"/>
        <v>940050.56488200463</v>
      </c>
      <c r="N18" s="91">
        <f t="shared" si="6"/>
        <v>2779203.9863908328</v>
      </c>
      <c r="O18" s="91">
        <f t="shared" si="6"/>
        <v>5157955.7110826299</v>
      </c>
      <c r="P18" s="91">
        <f t="shared" si="6"/>
        <v>3414396.9678167459</v>
      </c>
      <c r="Q18" s="91">
        <f t="shared" si="6"/>
        <v>2211414.6028745696</v>
      </c>
      <c r="R18" s="91">
        <f t="shared" si="6"/>
        <v>-171155.68137800065</v>
      </c>
      <c r="T18" s="94">
        <f t="shared" si="2"/>
        <v>0</v>
      </c>
    </row>
    <row r="19" spans="1:20" x14ac:dyDescent="0.25">
      <c r="A19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T19" s="94">
        <f t="shared" si="2"/>
        <v>0</v>
      </c>
    </row>
    <row r="20" spans="1:20" x14ac:dyDescent="0.25">
      <c r="A20" t="s">
        <v>540</v>
      </c>
      <c r="F20" s="91">
        <f>'Rate Base'!F156*0.0287</f>
        <v>155800477.88650432</v>
      </c>
      <c r="G20" s="91">
        <f>'Rate Base'!G156*0.0287</f>
        <v>88604944.594548717</v>
      </c>
      <c r="H20" s="91">
        <f>'Rate Base'!H156*0.0287</f>
        <v>18785256.694552999</v>
      </c>
      <c r="I20" s="91">
        <f>'Rate Base'!I156*0.0287</f>
        <v>19514748.999192871</v>
      </c>
      <c r="J20" s="91">
        <f>'Rate Base'!J156*0.0287</f>
        <v>11408809.437338062</v>
      </c>
      <c r="K20" s="91">
        <f>'Rate Base'!K156*0.0287</f>
        <v>8529613.6484524123</v>
      </c>
      <c r="L20" s="91">
        <f>'Rate Base'!L156*0.0287</f>
        <v>47795.595996161057</v>
      </c>
      <c r="M20" s="91">
        <f>'Rate Base'!M156*0.0287</f>
        <v>1087389.8777421834</v>
      </c>
      <c r="N20" s="91">
        <f>'Rate Base'!N156*0.0287</f>
        <v>1113640.8601052624</v>
      </c>
      <c r="O20" s="91">
        <f>'Rate Base'!O156*0.0287</f>
        <v>2958525.4083763263</v>
      </c>
      <c r="P20" s="91">
        <f>'Rate Base'!P156*0.0287</f>
        <v>2001899.7747918172</v>
      </c>
      <c r="Q20" s="91">
        <f>'Rate Base'!Q156*0.0287</f>
        <v>1696526.9036872142</v>
      </c>
      <c r="R20" s="91">
        <f>'Rate Base'!R156*0.0287</f>
        <v>51326.091720330143</v>
      </c>
      <c r="T20" s="94">
        <f t="shared" si="2"/>
        <v>0</v>
      </c>
    </row>
    <row r="21" spans="1:20" x14ac:dyDescent="0.25">
      <c r="A21" t="s">
        <v>578</v>
      </c>
      <c r="F21" s="91">
        <f>F18-F20</f>
        <v>196792609.38573417</v>
      </c>
      <c r="G21" s="91">
        <f t="shared" ref="G21:R21" si="8">G18-G20</f>
        <v>100510081.6833763</v>
      </c>
      <c r="H21" s="91">
        <f t="shared" si="8"/>
        <v>33231375.987464923</v>
      </c>
      <c r="I21" s="91">
        <f t="shared" si="8"/>
        <v>35715340.955131553</v>
      </c>
      <c r="J21" s="91">
        <f t="shared" si="8"/>
        <v>13926898.474454664</v>
      </c>
      <c r="K21" s="91">
        <f t="shared" si="8"/>
        <v>8217710.8901116736</v>
      </c>
      <c r="L21" s="91">
        <f t="shared" ref="L21:M21" si="9">L18-L20</f>
        <v>-231355.84005040221</v>
      </c>
      <c r="M21" s="91">
        <f t="shared" si="9"/>
        <v>-147339.31286017876</v>
      </c>
      <c r="N21" s="91">
        <f t="shared" si="8"/>
        <v>1665563.1262855704</v>
      </c>
      <c r="O21" s="91">
        <f t="shared" si="8"/>
        <v>2199430.3027063035</v>
      </c>
      <c r="P21" s="91">
        <f t="shared" si="8"/>
        <v>1412497.1930249287</v>
      </c>
      <c r="Q21" s="91">
        <f t="shared" si="8"/>
        <v>514887.69918735535</v>
      </c>
      <c r="R21" s="91">
        <f t="shared" si="8"/>
        <v>-222481.7730983308</v>
      </c>
      <c r="T21" s="94">
        <f t="shared" si="2"/>
        <v>-2.384185791015625E-7</v>
      </c>
    </row>
    <row r="22" spans="1:20" x14ac:dyDescent="0.25">
      <c r="A22" t="s">
        <v>541</v>
      </c>
      <c r="F22" s="91">
        <f>Expenses!F164</f>
        <v>14254091.317042813</v>
      </c>
      <c r="G22" s="91">
        <f>$F22/$F21*G21</f>
        <v>7280150.8505335934</v>
      </c>
      <c r="H22" s="91">
        <f t="shared" ref="H22:R22" si="10">$F22/$F21*H21</f>
        <v>2407016.5510526882</v>
      </c>
      <c r="I22" s="91">
        <f t="shared" si="10"/>
        <v>2586935.2156202924</v>
      </c>
      <c r="J22" s="91">
        <f t="shared" si="10"/>
        <v>1008753.749633708</v>
      </c>
      <c r="K22" s="91">
        <f t="shared" si="10"/>
        <v>595225.61243705091</v>
      </c>
      <c r="L22" s="91">
        <f t="shared" ref="L22:M22" si="11">$F22/$F21*L21</f>
        <v>-16757.576827215162</v>
      </c>
      <c r="M22" s="91">
        <f t="shared" si="11"/>
        <v>-10672.087872887236</v>
      </c>
      <c r="N22" s="91">
        <f t="shared" si="10"/>
        <v>120640.14482291255</v>
      </c>
      <c r="O22" s="91">
        <f t="shared" si="10"/>
        <v>159309.2366532716</v>
      </c>
      <c r="P22" s="91">
        <f t="shared" si="10"/>
        <v>102310.06152766384</v>
      </c>
      <c r="Q22" s="91">
        <f t="shared" si="10"/>
        <v>37294.369464113974</v>
      </c>
      <c r="R22" s="91">
        <f t="shared" si="10"/>
        <v>-16114.810002367381</v>
      </c>
      <c r="T22" s="94">
        <f t="shared" si="2"/>
        <v>0</v>
      </c>
    </row>
    <row r="23" spans="1:20" ht="15.75" thickBot="1" x14ac:dyDescent="0.3">
      <c r="A23" s="88"/>
      <c r="B23" s="90"/>
      <c r="C23" s="90"/>
      <c r="D23" s="90"/>
      <c r="E23" s="90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T23" s="94">
        <f t="shared" si="2"/>
        <v>0</v>
      </c>
    </row>
    <row r="24" spans="1:20" ht="15.75" thickTop="1" x14ac:dyDescent="0.25">
      <c r="A24" s="59" t="s">
        <v>542</v>
      </c>
      <c r="F24" s="91">
        <f>F18-F22</f>
        <v>338338995.95519567</v>
      </c>
      <c r="G24" s="91">
        <f t="shared" ref="G24:R24" si="12">G18-G22</f>
        <v>181834875.42739141</v>
      </c>
      <c r="H24" s="91">
        <f t="shared" si="12"/>
        <v>49609616.130965233</v>
      </c>
      <c r="I24" s="91">
        <f t="shared" si="12"/>
        <v>52643154.73870413</v>
      </c>
      <c r="J24" s="91">
        <f t="shared" si="12"/>
        <v>24326954.162159018</v>
      </c>
      <c r="K24" s="91">
        <f t="shared" si="12"/>
        <v>16152098.926127035</v>
      </c>
      <c r="L24" s="91">
        <f t="shared" si="12"/>
        <v>-166802.66722702602</v>
      </c>
      <c r="M24" s="91">
        <f t="shared" si="12"/>
        <v>950722.6527548919</v>
      </c>
      <c r="N24" s="91">
        <f t="shared" si="12"/>
        <v>2658563.8415679201</v>
      </c>
      <c r="O24" s="91">
        <f t="shared" si="12"/>
        <v>4998646.4744293578</v>
      </c>
      <c r="P24" s="91">
        <f t="shared" si="12"/>
        <v>3312086.906289082</v>
      </c>
      <c r="Q24" s="91">
        <f t="shared" si="12"/>
        <v>2174120.2334104558</v>
      </c>
      <c r="R24" s="91">
        <f t="shared" si="12"/>
        <v>-155040.87137563326</v>
      </c>
      <c r="T24" s="94">
        <f t="shared" si="2"/>
        <v>0</v>
      </c>
    </row>
    <row r="25" spans="1:20" x14ac:dyDescent="0.25">
      <c r="A25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T25" s="94">
        <f t="shared" si="2"/>
        <v>0</v>
      </c>
    </row>
    <row r="26" spans="1:20" x14ac:dyDescent="0.25">
      <c r="A26" s="59" t="s">
        <v>543</v>
      </c>
      <c r="T26" s="94">
        <f t="shared" si="2"/>
        <v>0</v>
      </c>
    </row>
    <row r="27" spans="1:20" x14ac:dyDescent="0.25">
      <c r="A27"/>
      <c r="B27" t="s">
        <v>562</v>
      </c>
      <c r="F27" s="91">
        <f>SUM(G27:R27)</f>
        <v>10754417110.815203</v>
      </c>
      <c r="G27" s="91">
        <f>'Rate Base'!G72</f>
        <v>6145016814.5199232</v>
      </c>
      <c r="H27" s="91">
        <f>'Rate Base'!H72</f>
        <v>1348996526.1802979</v>
      </c>
      <c r="I27" s="91">
        <f>'Rate Base'!I72</f>
        <v>1325839652.8774016</v>
      </c>
      <c r="J27" s="91">
        <f>'Rate Base'!J72</f>
        <v>777245147.16575468</v>
      </c>
      <c r="K27" s="91">
        <f>'Rate Base'!K72</f>
        <v>570470020.94245446</v>
      </c>
      <c r="L27" s="91">
        <f>'Rate Base'!L72</f>
        <v>3256672.1528040897</v>
      </c>
      <c r="M27" s="91">
        <f>'Rate Base'!M72</f>
        <v>70961462.00032407</v>
      </c>
      <c r="N27" s="91">
        <f>'Rate Base'!N72</f>
        <v>73322258.043402135</v>
      </c>
      <c r="O27" s="91">
        <f>'Rate Base'!O72</f>
        <v>202554572.78671095</v>
      </c>
      <c r="P27" s="91">
        <f>'Rate Base'!P72</f>
        <v>120156503.04788588</v>
      </c>
      <c r="Q27" s="91">
        <f>'Rate Base'!Q72</f>
        <v>113229199.63347158</v>
      </c>
      <c r="R27" s="91">
        <f>'Rate Base'!R72</f>
        <v>3368281.4647714109</v>
      </c>
      <c r="T27" s="94">
        <f t="shared" si="2"/>
        <v>0</v>
      </c>
    </row>
    <row r="28" spans="1:20" x14ac:dyDescent="0.25">
      <c r="A28"/>
      <c r="B28" s="36" t="s">
        <v>563</v>
      </c>
      <c r="C28" s="47"/>
      <c r="D28" s="47"/>
      <c r="E28" s="47"/>
      <c r="F28" s="92">
        <f>SUM(G28:R28)</f>
        <v>-4292153131.7526522</v>
      </c>
      <c r="G28" s="92">
        <f>'Rate Base'!G123</f>
        <v>-2457525693.5105414</v>
      </c>
      <c r="H28" s="92">
        <f>'Rate Base'!H123</f>
        <v>-535674781.81451708</v>
      </c>
      <c r="I28" s="92">
        <f>'Rate Base'!I123</f>
        <v>-533121712.13071495</v>
      </c>
      <c r="J28" s="92">
        <f>'Rate Base'!J123</f>
        <v>-318492607.23862869</v>
      </c>
      <c r="K28" s="92">
        <f>'Rate Base'!K123</f>
        <v>-227380863.46864656</v>
      </c>
      <c r="L28" s="92">
        <f>'Rate Base'!L123</f>
        <v>-1288715.2063420375</v>
      </c>
      <c r="M28" s="92">
        <f>'Rate Base'!M123</f>
        <v>-26432130.327185836</v>
      </c>
      <c r="N28" s="92">
        <f>'Rate Base'!N123</f>
        <v>-26173657.796454236</v>
      </c>
      <c r="O28" s="92">
        <f>'Rate Base'!O123</f>
        <v>-84850740.934910193</v>
      </c>
      <c r="P28" s="92">
        <f>'Rate Base'!P123</f>
        <v>-36889325.616147317</v>
      </c>
      <c r="Q28" s="92">
        <f>'Rate Base'!Q123</f>
        <v>-43035933.76252427</v>
      </c>
      <c r="R28" s="92">
        <f>'Rate Base'!R123</f>
        <v>-1286969.9460390673</v>
      </c>
      <c r="T28" s="94">
        <f t="shared" si="2"/>
        <v>0</v>
      </c>
    </row>
    <row r="29" spans="1:20" x14ac:dyDescent="0.25">
      <c r="A29"/>
      <c r="B29" t="s">
        <v>564</v>
      </c>
      <c r="F29" s="91">
        <f>F27+F28</f>
        <v>6462263979.0625505</v>
      </c>
      <c r="G29" s="91">
        <f t="shared" ref="G29:R29" si="13">G27+G28</f>
        <v>3687491121.0093818</v>
      </c>
      <c r="H29" s="91">
        <f t="shared" si="13"/>
        <v>813321744.36578083</v>
      </c>
      <c r="I29" s="91">
        <f t="shared" si="13"/>
        <v>792717940.7466867</v>
      </c>
      <c r="J29" s="91">
        <f t="shared" si="13"/>
        <v>458752539.92712599</v>
      </c>
      <c r="K29" s="91">
        <f t="shared" si="13"/>
        <v>343089157.47380793</v>
      </c>
      <c r="L29" s="91">
        <f t="shared" si="13"/>
        <v>1967956.9464620522</v>
      </c>
      <c r="M29" s="91">
        <f t="shared" si="13"/>
        <v>44529331.673138231</v>
      </c>
      <c r="N29" s="91">
        <f t="shared" si="13"/>
        <v>47148600.246947899</v>
      </c>
      <c r="O29" s="91">
        <f t="shared" si="13"/>
        <v>117703831.85180075</v>
      </c>
      <c r="P29" s="91">
        <f t="shared" si="13"/>
        <v>83267177.431738555</v>
      </c>
      <c r="Q29" s="91">
        <f t="shared" si="13"/>
        <v>70193265.870947301</v>
      </c>
      <c r="R29" s="91">
        <f t="shared" si="13"/>
        <v>2081311.5187323436</v>
      </c>
      <c r="T29" s="94">
        <f t="shared" si="2"/>
        <v>0</v>
      </c>
    </row>
    <row r="30" spans="1:20" x14ac:dyDescent="0.25">
      <c r="A30"/>
      <c r="B30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T30" s="94">
        <f t="shared" si="2"/>
        <v>0</v>
      </c>
    </row>
    <row r="31" spans="1:20" x14ac:dyDescent="0.25">
      <c r="A31"/>
      <c r="B31" t="s">
        <v>288</v>
      </c>
      <c r="F31" s="91">
        <f t="shared" ref="F31:F32" si="14">SUM(G31:R31)</f>
        <v>137375215.95577016</v>
      </c>
      <c r="G31" s="91">
        <f>'Rate Base'!G128</f>
        <v>78495468.722109452</v>
      </c>
      <c r="H31" s="91">
        <f>'Rate Base'!H128</f>
        <v>17231867.352553777</v>
      </c>
      <c r="I31" s="91">
        <f>'Rate Base'!I128</f>
        <v>16936065.131190553</v>
      </c>
      <c r="J31" s="91">
        <f>'Rate Base'!J128</f>
        <v>9928406.0532757472</v>
      </c>
      <c r="K31" s="91">
        <f>'Rate Base'!K128</f>
        <v>7287093.4347944381</v>
      </c>
      <c r="L31" s="91">
        <f>'Rate Base'!L128</f>
        <v>41600.212794302926</v>
      </c>
      <c r="M31" s="91">
        <f>'Rate Base'!M128</f>
        <v>906450.4441647752</v>
      </c>
      <c r="N31" s="91">
        <f>'Rate Base'!N128</f>
        <v>936606.87783324707</v>
      </c>
      <c r="O31" s="91">
        <f>'Rate Base'!O128</f>
        <v>2587399.9392695986</v>
      </c>
      <c r="P31" s="91">
        <f>'Rate Base'!P128</f>
        <v>1534860.0844292769</v>
      </c>
      <c r="Q31" s="91">
        <f>'Rate Base'!Q128</f>
        <v>1446371.8109375141</v>
      </c>
      <c r="R31" s="91">
        <f>'Rate Base'!R128</f>
        <v>43025.892417493902</v>
      </c>
      <c r="T31" s="94">
        <f t="shared" si="2"/>
        <v>0</v>
      </c>
    </row>
    <row r="32" spans="1:20" x14ac:dyDescent="0.25">
      <c r="A32"/>
      <c r="B32" t="s">
        <v>565</v>
      </c>
      <c r="F32" s="91">
        <f t="shared" si="14"/>
        <v>-1171051115.349179</v>
      </c>
      <c r="G32" s="91">
        <f>'Rate Base'!G152</f>
        <v>-678706290.26986349</v>
      </c>
      <c r="H32" s="91">
        <f>'Rate Base'!H152</f>
        <v>-176015050.93251574</v>
      </c>
      <c r="I32" s="91">
        <f>'Rate Base'!I152</f>
        <v>-129697594.75617443</v>
      </c>
      <c r="J32" s="91">
        <f>'Rate Base'!J152</f>
        <v>-71161453.390225366</v>
      </c>
      <c r="K32" s="91">
        <f>'Rate Base'!K152</f>
        <v>-53177169.080992125</v>
      </c>
      <c r="L32" s="91">
        <f>'Rate Base'!L152</f>
        <v>-344205.38238663174</v>
      </c>
      <c r="M32" s="91">
        <f>'Rate Base'!M152</f>
        <v>-7547633.0670527201</v>
      </c>
      <c r="N32" s="91">
        <f>'Rate Base'!N152</f>
        <v>-9282389.6995106749</v>
      </c>
      <c r="O32" s="91">
        <f>'Rate Base'!O152</f>
        <v>-17206722.788410895</v>
      </c>
      <c r="P32" s="91">
        <f>'Rate Base'!P152</f>
        <v>-15049432.122724723</v>
      </c>
      <c r="Q32" s="91">
        <f>'Rate Base'!Q152</f>
        <v>-12527202.013340766</v>
      </c>
      <c r="R32" s="91">
        <f>'Rate Base'!R152</f>
        <v>-335971.84598153981</v>
      </c>
      <c r="T32" s="94">
        <f t="shared" si="2"/>
        <v>0</v>
      </c>
    </row>
    <row r="33" spans="1:20" ht="15.75" thickBot="1" x14ac:dyDescent="0.3">
      <c r="A3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T33" s="94">
        <f t="shared" si="2"/>
        <v>0</v>
      </c>
    </row>
    <row r="34" spans="1:20" ht="15.75" thickTop="1" x14ac:dyDescent="0.25">
      <c r="A34" s="59" t="s">
        <v>310</v>
      </c>
      <c r="F34" s="94">
        <f>F29+F31+F32</f>
        <v>5428588079.6691418</v>
      </c>
      <c r="G34" s="94">
        <f t="shared" ref="G34:R34" si="15">G29+G31+G32</f>
        <v>3087280299.4616275</v>
      </c>
      <c r="H34" s="94">
        <f t="shared" si="15"/>
        <v>654538560.78581882</v>
      </c>
      <c r="I34" s="94">
        <f t="shared" si="15"/>
        <v>679956411.12170279</v>
      </c>
      <c r="J34" s="94">
        <f t="shared" si="15"/>
        <v>397519492.5901764</v>
      </c>
      <c r="K34" s="94">
        <f t="shared" si="15"/>
        <v>297199081.82761025</v>
      </c>
      <c r="L34" s="94">
        <f t="shared" si="15"/>
        <v>1665351.7768697233</v>
      </c>
      <c r="M34" s="94">
        <f t="shared" si="15"/>
        <v>37888149.050250284</v>
      </c>
      <c r="N34" s="94">
        <f t="shared" si="15"/>
        <v>38802817.425270468</v>
      </c>
      <c r="O34" s="94">
        <f t="shared" si="15"/>
        <v>103084509.00265947</v>
      </c>
      <c r="P34" s="94">
        <f t="shared" si="15"/>
        <v>69752605.393443108</v>
      </c>
      <c r="Q34" s="94">
        <f t="shared" si="15"/>
        <v>59112435.668544047</v>
      </c>
      <c r="R34" s="94">
        <f t="shared" si="15"/>
        <v>1788365.5651682978</v>
      </c>
      <c r="T34" s="94">
        <f t="shared" si="2"/>
        <v>0</v>
      </c>
    </row>
    <row r="35" spans="1:20" x14ac:dyDescent="0.25">
      <c r="A35"/>
      <c r="T35" s="94">
        <f t="shared" si="2"/>
        <v>0</v>
      </c>
    </row>
    <row r="36" spans="1:20" x14ac:dyDescent="0.25">
      <c r="A36" t="s">
        <v>544</v>
      </c>
      <c r="F36" s="95">
        <f>F24/F34</f>
        <v>6.2325413346856214E-2</v>
      </c>
      <c r="G36" s="95">
        <f t="shared" ref="G36:R36" si="16">G24/G34</f>
        <v>5.8898077851596606E-2</v>
      </c>
      <c r="H36" s="95">
        <f t="shared" si="16"/>
        <v>7.5793267353730015E-2</v>
      </c>
      <c r="I36" s="95">
        <f t="shared" si="16"/>
        <v>7.7421366837118824E-2</v>
      </c>
      <c r="J36" s="95">
        <f t="shared" si="16"/>
        <v>6.1196883714175358E-2</v>
      </c>
      <c r="K36" s="95">
        <f t="shared" si="16"/>
        <v>5.4347741678071632E-2</v>
      </c>
      <c r="L36" s="95">
        <f t="shared" ref="L36:M36" si="17">L24/L34</f>
        <v>-0.10016062044294118</v>
      </c>
      <c r="M36" s="95">
        <f t="shared" si="17"/>
        <v>2.5092876706485918E-2</v>
      </c>
      <c r="N36" s="95">
        <f t="shared" si="16"/>
        <v>6.8514711507430937E-2</v>
      </c>
      <c r="O36" s="95">
        <f t="shared" si="16"/>
        <v>4.8490762800261267E-2</v>
      </c>
      <c r="P36" s="95">
        <f t="shared" si="16"/>
        <v>4.7483343275954895E-2</v>
      </c>
      <c r="Q36" s="95">
        <f t="shared" si="16"/>
        <v>3.6779405362370933E-2</v>
      </c>
      <c r="R36" s="95">
        <f t="shared" si="16"/>
        <v>-8.6694171703671122E-2</v>
      </c>
      <c r="T36" s="94">
        <f t="shared" si="2"/>
        <v>-0.30483823159372786</v>
      </c>
    </row>
    <row r="37" spans="1:20" x14ac:dyDescent="0.25">
      <c r="A37" t="s">
        <v>545</v>
      </c>
      <c r="F37" s="95">
        <f>F36/$F36</f>
        <v>1</v>
      </c>
      <c r="G37" s="95">
        <f t="shared" ref="G37:R37" si="18">G36/$F36</f>
        <v>0.94500902102027551</v>
      </c>
      <c r="H37" s="95">
        <f t="shared" si="18"/>
        <v>1.216089284990729</v>
      </c>
      <c r="I37" s="95">
        <f t="shared" si="18"/>
        <v>1.2422118471360941</v>
      </c>
      <c r="J37" s="95">
        <f t="shared" si="18"/>
        <v>0.98189294587746556</v>
      </c>
      <c r="K37" s="95">
        <f t="shared" si="18"/>
        <v>0.87199969899297924</v>
      </c>
      <c r="L37" s="95">
        <f t="shared" ref="L37:M37" si="19">L36/$F36</f>
        <v>-1.6070590641015527</v>
      </c>
      <c r="M37" s="95">
        <f t="shared" si="19"/>
        <v>0.40261067450668808</v>
      </c>
      <c r="N37" s="95">
        <f t="shared" si="18"/>
        <v>1.099306171081927</v>
      </c>
      <c r="O37" s="95">
        <f t="shared" si="18"/>
        <v>0.7780255307798486</v>
      </c>
      <c r="P37" s="95">
        <f t="shared" si="18"/>
        <v>0.76186166647140297</v>
      </c>
      <c r="Q37" s="95">
        <f t="shared" si="18"/>
        <v>0.5901189159819048</v>
      </c>
      <c r="R37" s="95">
        <f t="shared" si="18"/>
        <v>-1.390992326375708</v>
      </c>
      <c r="T37" s="94">
        <f t="shared" si="2"/>
        <v>-4.8910743663620533</v>
      </c>
    </row>
    <row r="38" spans="1:20" x14ac:dyDescent="0.25">
      <c r="A38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T38" s="94">
        <f t="shared" si="2"/>
        <v>0</v>
      </c>
    </row>
    <row r="39" spans="1:20" x14ac:dyDescent="0.25">
      <c r="A39" s="19"/>
      <c r="T39" s="94">
        <f t="shared" si="2"/>
        <v>0</v>
      </c>
    </row>
    <row r="40" spans="1:20" x14ac:dyDescent="0.25">
      <c r="A40" s="20" t="s">
        <v>546</v>
      </c>
      <c r="T40" s="94">
        <f t="shared" si="2"/>
        <v>0</v>
      </c>
    </row>
    <row r="41" spans="1:20" x14ac:dyDescent="0.25">
      <c r="A41" s="16" t="s">
        <v>547</v>
      </c>
      <c r="F41" s="95">
        <v>7.6200000000000004E-2</v>
      </c>
      <c r="G41" s="95">
        <v>7.6200000000000004E-2</v>
      </c>
      <c r="H41" s="95">
        <v>7.6200000000000004E-2</v>
      </c>
      <c r="I41" s="95">
        <v>7.6200000000000004E-2</v>
      </c>
      <c r="J41" s="95">
        <v>7.6200000000000004E-2</v>
      </c>
      <c r="K41" s="95">
        <v>7.6200000000000004E-2</v>
      </c>
      <c r="L41" s="95">
        <v>7.6200000000000004E-2</v>
      </c>
      <c r="M41" s="95">
        <v>7.6200000000000004E-2</v>
      </c>
      <c r="N41" s="95">
        <v>7.6200000000000004E-2</v>
      </c>
      <c r="O41" s="95">
        <v>7.6200000000000004E-2</v>
      </c>
      <c r="P41" s="95">
        <v>7.6200000000000004E-2</v>
      </c>
      <c r="Q41" s="95">
        <v>7.6200000000000004E-2</v>
      </c>
      <c r="R41" s="95">
        <v>7.6200000000000004E-2</v>
      </c>
      <c r="T41" s="94">
        <f t="shared" si="2"/>
        <v>-0.83820000000000017</v>
      </c>
    </row>
    <row r="42" spans="1:20" x14ac:dyDescent="0.25">
      <c r="A42" s="19" t="s">
        <v>548</v>
      </c>
      <c r="F42" s="91">
        <f>F34*F41</f>
        <v>413658411.67078865</v>
      </c>
      <c r="G42" s="91">
        <f>G34*G41</f>
        <v>235250758.81897601</v>
      </c>
      <c r="H42" s="91">
        <f t="shared" ref="H42:R42" si="20">H34*H41</f>
        <v>49875838.3318794</v>
      </c>
      <c r="I42" s="91">
        <f t="shared" si="20"/>
        <v>51812678.527473755</v>
      </c>
      <c r="J42" s="91">
        <f t="shared" si="20"/>
        <v>30290985.335371442</v>
      </c>
      <c r="K42" s="91">
        <f t="shared" si="20"/>
        <v>22646570.035263903</v>
      </c>
      <c r="L42" s="91">
        <f t="shared" ref="L42:M42" si="21">L34*L41</f>
        <v>126899.80539747293</v>
      </c>
      <c r="M42" s="91">
        <f t="shared" si="21"/>
        <v>2887076.957629072</v>
      </c>
      <c r="N42" s="91">
        <f t="shared" si="20"/>
        <v>2956774.6878056098</v>
      </c>
      <c r="O42" s="91">
        <f t="shared" si="20"/>
        <v>7855039.5860026516</v>
      </c>
      <c r="P42" s="91">
        <f t="shared" si="20"/>
        <v>5315148.5309803654</v>
      </c>
      <c r="Q42" s="91">
        <f t="shared" si="20"/>
        <v>4504367.5979430564</v>
      </c>
      <c r="R42" s="91">
        <f t="shared" si="20"/>
        <v>136273.45606582431</v>
      </c>
      <c r="T42" s="94">
        <f t="shared" si="2"/>
        <v>0</v>
      </c>
    </row>
    <row r="43" spans="1:20" x14ac:dyDescent="0.25">
      <c r="A43" s="19" t="s">
        <v>549</v>
      </c>
      <c r="F43" s="94">
        <f>F42-F24</f>
        <v>75319415.71559298</v>
      </c>
      <c r="G43" s="94">
        <f t="shared" ref="G43:R43" si="22">G42-G24</f>
        <v>53415883.391584605</v>
      </c>
      <c r="H43" s="94">
        <f t="shared" si="22"/>
        <v>266222.20091416687</v>
      </c>
      <c r="I43" s="94">
        <f t="shared" si="22"/>
        <v>-830476.21123037487</v>
      </c>
      <c r="J43" s="94">
        <f t="shared" si="22"/>
        <v>5964031.1732124239</v>
      </c>
      <c r="K43" s="94">
        <f t="shared" si="22"/>
        <v>6494471.1091368683</v>
      </c>
      <c r="L43" s="94">
        <f t="shared" ref="L43:M43" si="23">L42-L24</f>
        <v>293702.47262449894</v>
      </c>
      <c r="M43" s="94">
        <f t="shared" si="23"/>
        <v>1936354.3048741801</v>
      </c>
      <c r="N43" s="94">
        <f t="shared" si="22"/>
        <v>298210.84623768972</v>
      </c>
      <c r="O43" s="94">
        <f t="shared" si="22"/>
        <v>2856393.1115732938</v>
      </c>
      <c r="P43" s="94">
        <f t="shared" si="22"/>
        <v>2003061.6246912833</v>
      </c>
      <c r="Q43" s="94">
        <f t="shared" si="22"/>
        <v>2330247.3645326006</v>
      </c>
      <c r="R43" s="94">
        <f t="shared" si="22"/>
        <v>291314.32744145754</v>
      </c>
      <c r="T43" s="94">
        <f t="shared" si="2"/>
        <v>2.9802322387695313E-7</v>
      </c>
    </row>
    <row r="44" spans="1:20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T44" s="94">
        <f t="shared" si="2"/>
        <v>0</v>
      </c>
    </row>
    <row r="45" spans="1:20" x14ac:dyDescent="0.25">
      <c r="A45" s="19" t="s">
        <v>550</v>
      </c>
      <c r="T45" s="94">
        <f t="shared" si="2"/>
        <v>0</v>
      </c>
    </row>
    <row r="46" spans="1:20" x14ac:dyDescent="0.25">
      <c r="A46" s="19" t="s">
        <v>551</v>
      </c>
      <c r="D46" s="44">
        <v>18</v>
      </c>
      <c r="F46" s="91">
        <v>849946</v>
      </c>
      <c r="G46" s="39">
        <f t="shared" ref="G46:R48" si="24">INDEX(Alloc,($D46),(G$1))*$F46</f>
        <v>752527.32794627757</v>
      </c>
      <c r="H46" s="39">
        <f t="shared" si="24"/>
        <v>54130.745403915935</v>
      </c>
      <c r="I46" s="39">
        <f t="shared" si="24"/>
        <v>8752.0748021634117</v>
      </c>
      <c r="J46" s="39">
        <f t="shared" si="24"/>
        <v>13664.332028457378</v>
      </c>
      <c r="K46" s="39">
        <f t="shared" si="24"/>
        <v>18706.082707951547</v>
      </c>
      <c r="L46" s="39">
        <f t="shared" si="24"/>
        <v>0</v>
      </c>
      <c r="M46" s="39">
        <f t="shared" si="24"/>
        <v>0</v>
      </c>
      <c r="N46" s="39">
        <f t="shared" si="24"/>
        <v>0</v>
      </c>
      <c r="O46" s="39">
        <f t="shared" si="24"/>
        <v>0</v>
      </c>
      <c r="P46" s="39">
        <f t="shared" si="24"/>
        <v>0</v>
      </c>
      <c r="Q46" s="39">
        <f t="shared" si="24"/>
        <v>2165.4371112341328</v>
      </c>
      <c r="R46" s="39">
        <f t="shared" si="24"/>
        <v>0</v>
      </c>
      <c r="T46" s="94">
        <f t="shared" si="2"/>
        <v>0</v>
      </c>
    </row>
    <row r="47" spans="1:20" x14ac:dyDescent="0.25">
      <c r="A47" s="19" t="s">
        <v>552</v>
      </c>
      <c r="D47" s="44">
        <v>83</v>
      </c>
      <c r="F47" s="91">
        <v>200483</v>
      </c>
      <c r="G47" s="39">
        <f t="shared" si="24"/>
        <v>104040.57216962747</v>
      </c>
      <c r="H47" s="39">
        <f t="shared" si="24"/>
        <v>26776.982569030126</v>
      </c>
      <c r="I47" s="39">
        <f t="shared" si="24"/>
        <v>29046.153916384043</v>
      </c>
      <c r="J47" s="39">
        <f t="shared" si="24"/>
        <v>18837.975562779106</v>
      </c>
      <c r="K47" s="39">
        <f t="shared" si="24"/>
        <v>13206.010105077425</v>
      </c>
      <c r="L47" s="39">
        <f t="shared" si="24"/>
        <v>58.041108117127202</v>
      </c>
      <c r="M47" s="39">
        <f t="shared" si="24"/>
        <v>1155.7896406308507</v>
      </c>
      <c r="N47" s="39">
        <f t="shared" si="24"/>
        <v>174.55394101963546</v>
      </c>
      <c r="O47" s="39">
        <f t="shared" si="24"/>
        <v>5564.4562581223563</v>
      </c>
      <c r="P47" s="39">
        <f t="shared" si="24"/>
        <v>366.18916102581483</v>
      </c>
      <c r="Q47" s="39">
        <f t="shared" si="24"/>
        <v>1189.9061246435474</v>
      </c>
      <c r="R47" s="39">
        <f t="shared" si="24"/>
        <v>66.369443542497692</v>
      </c>
      <c r="T47" s="94">
        <f t="shared" si="2"/>
        <v>0</v>
      </c>
    </row>
    <row r="48" spans="1:20" x14ac:dyDescent="0.25">
      <c r="A48" s="19" t="s">
        <v>553</v>
      </c>
      <c r="D48" s="44">
        <v>77</v>
      </c>
      <c r="F48" s="91">
        <v>3849868</v>
      </c>
      <c r="G48" s="39">
        <f t="shared" si="24"/>
        <v>2151164.0534087294</v>
      </c>
      <c r="H48" s="39">
        <f t="shared" si="24"/>
        <v>490436.78726140829</v>
      </c>
      <c r="I48" s="39">
        <f t="shared" si="24"/>
        <v>496472.61706822756</v>
      </c>
      <c r="J48" s="39">
        <f t="shared" si="24"/>
        <v>307510.26563432149</v>
      </c>
      <c r="K48" s="39">
        <f t="shared" si="24"/>
        <v>222566.73812633639</v>
      </c>
      <c r="L48" s="39">
        <f t="shared" si="24"/>
        <v>1098.9874315788115</v>
      </c>
      <c r="M48" s="39">
        <f t="shared" si="24"/>
        <v>23509.925135689064</v>
      </c>
      <c r="N48" s="39">
        <f t="shared" si="24"/>
        <v>12224.330016613287</v>
      </c>
      <c r="O48" s="39">
        <f t="shared" si="24"/>
        <v>85684.035627795369</v>
      </c>
      <c r="P48" s="39">
        <f t="shared" si="24"/>
        <v>23670.568073490267</v>
      </c>
      <c r="Q48" s="39">
        <f t="shared" si="24"/>
        <v>34323.908391074016</v>
      </c>
      <c r="R48" s="39">
        <f t="shared" si="24"/>
        <v>1205.783824735732</v>
      </c>
      <c r="T48" s="94">
        <f t="shared" si="2"/>
        <v>0</v>
      </c>
    </row>
    <row r="49" spans="1:20" s="138" customFormat="1" x14ac:dyDescent="0.25">
      <c r="A49" s="71" t="s">
        <v>583</v>
      </c>
      <c r="C49" s="139">
        <f>F49/(F49+F43)</f>
        <v>0.20999984236418964</v>
      </c>
      <c r="F49" s="140">
        <v>20021597.81154</v>
      </c>
      <c r="G49" s="140">
        <f>G43*($C49/(1-$C49))</f>
        <v>14199145.384408752</v>
      </c>
      <c r="H49" s="140">
        <f t="shared" ref="H49:R49" si="25">H43*($C49/(1-$C49))</f>
        <v>70767.859582625024</v>
      </c>
      <c r="I49" s="140">
        <f t="shared" si="25"/>
        <v>-220759.28942534013</v>
      </c>
      <c r="J49" s="140">
        <f t="shared" si="25"/>
        <v>1585373.8687569967</v>
      </c>
      <c r="K49" s="140">
        <f t="shared" si="25"/>
        <v>1726376.755719908</v>
      </c>
      <c r="L49" s="140">
        <f t="shared" ref="L49:M49" si="26">L43*($C49/(1-$C49))</f>
        <v>78072.734995010949</v>
      </c>
      <c r="M49" s="140">
        <f t="shared" si="26"/>
        <v>514726.6046144967</v>
      </c>
      <c r="N49" s="140">
        <f t="shared" si="25"/>
        <v>79271.162285104467</v>
      </c>
      <c r="O49" s="140">
        <f t="shared" si="25"/>
        <v>759293.64996035316</v>
      </c>
      <c r="P49" s="140">
        <f t="shared" si="25"/>
        <v>532458.9132864998</v>
      </c>
      <c r="Q49" s="140">
        <f t="shared" si="25"/>
        <v>619432.2551603911</v>
      </c>
      <c r="R49" s="140">
        <f t="shared" si="25"/>
        <v>77437.912195124009</v>
      </c>
      <c r="T49" s="141">
        <f t="shared" si="2"/>
        <v>7.8231096267700195E-8</v>
      </c>
    </row>
    <row r="50" spans="1:20" x14ac:dyDescent="0.25">
      <c r="A50" s="19"/>
      <c r="T50" s="94">
        <f t="shared" si="2"/>
        <v>0</v>
      </c>
    </row>
    <row r="51" spans="1:20" s="103" customFormat="1" ht="15.75" thickBot="1" x14ac:dyDescent="0.3">
      <c r="A51" s="28" t="s">
        <v>554</v>
      </c>
      <c r="B51" s="101"/>
      <c r="C51" s="101"/>
      <c r="D51" s="101"/>
      <c r="E51" s="101"/>
      <c r="F51" s="102">
        <f>SUM(F43,F46:F49)</f>
        <v>100241310.52713299</v>
      </c>
      <c r="G51" s="102">
        <f t="shared" ref="G51:R51" si="27">SUM(G43,G46:G49)</f>
        <v>70622760.729517981</v>
      </c>
      <c r="H51" s="102">
        <f t="shared" si="27"/>
        <v>908334.57573114627</v>
      </c>
      <c r="I51" s="102">
        <f t="shared" si="27"/>
        <v>-516964.65486893995</v>
      </c>
      <c r="J51" s="102">
        <f t="shared" si="27"/>
        <v>7889417.6151949782</v>
      </c>
      <c r="K51" s="102">
        <f t="shared" si="27"/>
        <v>8475326.6957961414</v>
      </c>
      <c r="L51" s="102">
        <f t="shared" si="27"/>
        <v>372932.23615920584</v>
      </c>
      <c r="M51" s="102">
        <f t="shared" si="27"/>
        <v>2475746.6242649965</v>
      </c>
      <c r="N51" s="102">
        <f t="shared" si="27"/>
        <v>389880.89248042711</v>
      </c>
      <c r="O51" s="102">
        <f t="shared" si="27"/>
        <v>3706935.2534195646</v>
      </c>
      <c r="P51" s="102">
        <f t="shared" si="27"/>
        <v>2559557.2952122991</v>
      </c>
      <c r="Q51" s="102">
        <f t="shared" si="27"/>
        <v>2987358.8713199431</v>
      </c>
      <c r="R51" s="102">
        <f t="shared" si="27"/>
        <v>370024.39290485979</v>
      </c>
      <c r="T51" s="94">
        <f t="shared" si="2"/>
        <v>3.7252902984619141E-7</v>
      </c>
    </row>
    <row r="52" spans="1:20" ht="15.75" thickTop="1" x14ac:dyDescent="0.25">
      <c r="A52" s="19"/>
      <c r="T52" s="94">
        <f t="shared" si="2"/>
        <v>0</v>
      </c>
    </row>
    <row r="53" spans="1:20" x14ac:dyDescent="0.25">
      <c r="A53" s="19" t="s">
        <v>555</v>
      </c>
      <c r="F53" s="94">
        <f>F11+F51</f>
        <v>2179544361.4741774</v>
      </c>
      <c r="G53" s="94">
        <f t="shared" ref="G53:R53" si="28">G11+G51</f>
        <v>1220341224.9293392</v>
      </c>
      <c r="H53" s="94">
        <f t="shared" si="28"/>
        <v>276025476.90827775</v>
      </c>
      <c r="I53" s="94">
        <f t="shared" si="28"/>
        <v>279314833.95683283</v>
      </c>
      <c r="J53" s="94">
        <f t="shared" si="28"/>
        <v>173830111.51453131</v>
      </c>
      <c r="K53" s="94">
        <f t="shared" si="28"/>
        <v>126162866.68040182</v>
      </c>
      <c r="L53" s="94">
        <f t="shared" ref="L53:M53" si="29">L11+L51</f>
        <v>661428.75934242224</v>
      </c>
      <c r="M53" s="94">
        <f t="shared" si="29"/>
        <v>13538377.226068346</v>
      </c>
      <c r="N53" s="94">
        <f t="shared" si="28"/>
        <v>6994395.6648192853</v>
      </c>
      <c r="O53" s="94">
        <f t="shared" si="28"/>
        <v>48442105.39406845</v>
      </c>
      <c r="P53" s="94">
        <f t="shared" si="28"/>
        <v>13754667.440250505</v>
      </c>
      <c r="Q53" s="94">
        <f t="shared" si="28"/>
        <v>19757977.556923181</v>
      </c>
      <c r="R53" s="94">
        <f t="shared" si="28"/>
        <v>720895.4433223122</v>
      </c>
      <c r="T53" s="94">
        <f t="shared" si="2"/>
        <v>0</v>
      </c>
    </row>
    <row r="54" spans="1:20" x14ac:dyDescent="0.25">
      <c r="A54" s="19" t="s">
        <v>556</v>
      </c>
      <c r="F54" s="94">
        <f>SUM(F9:F10)</f>
        <v>82300667.0058126</v>
      </c>
      <c r="G54" s="94">
        <f t="shared" ref="G54:R54" si="30">SUM(G9:G10)</f>
        <v>43821950.909781814</v>
      </c>
      <c r="H54" s="94">
        <f t="shared" si="30"/>
        <v>11726751.118506797</v>
      </c>
      <c r="I54" s="94">
        <f t="shared" si="30"/>
        <v>9128541.3917193059</v>
      </c>
      <c r="J54" s="94">
        <f t="shared" si="30"/>
        <v>5659854.7690867595</v>
      </c>
      <c r="K54" s="94">
        <f t="shared" si="30"/>
        <v>4432320.8925707079</v>
      </c>
      <c r="L54" s="94">
        <f t="shared" ref="L54:M54" si="31">SUM(L9:L10)</f>
        <v>20482.522965419274</v>
      </c>
      <c r="M54" s="94">
        <f t="shared" si="31"/>
        <v>375484.59311861929</v>
      </c>
      <c r="N54" s="94">
        <f t="shared" si="30"/>
        <v>1110961.7723388576</v>
      </c>
      <c r="O54" s="94">
        <f t="shared" si="30"/>
        <v>4606926.1080393391</v>
      </c>
      <c r="P54" s="94">
        <f t="shared" si="30"/>
        <v>1077738.3650382054</v>
      </c>
      <c r="Q54" s="94">
        <f t="shared" si="30"/>
        <v>313124.67222933081</v>
      </c>
      <c r="R54" s="94">
        <f t="shared" si="30"/>
        <v>26529.89041745233</v>
      </c>
      <c r="T54" s="94">
        <f t="shared" si="2"/>
        <v>0</v>
      </c>
    </row>
    <row r="55" spans="1:20" x14ac:dyDescent="0.25">
      <c r="A55" s="24" t="s">
        <v>557</v>
      </c>
      <c r="B55" s="54"/>
      <c r="C55" s="54"/>
      <c r="D55" s="54"/>
      <c r="E55" s="54"/>
      <c r="F55" s="104">
        <f>F53-F54</f>
        <v>2097243694.4683647</v>
      </c>
      <c r="G55" s="104">
        <f t="shared" ref="G55:R55" si="32">G53-G54</f>
        <v>1176519274.0195575</v>
      </c>
      <c r="H55" s="104">
        <f>H53-H54</f>
        <v>264298725.78977096</v>
      </c>
      <c r="I55" s="104">
        <f t="shared" si="32"/>
        <v>270186292.56511354</v>
      </c>
      <c r="J55" s="104">
        <f t="shared" si="32"/>
        <v>168170256.74544457</v>
      </c>
      <c r="K55" s="104">
        <f t="shared" si="32"/>
        <v>121730545.78783111</v>
      </c>
      <c r="L55" s="104">
        <f t="shared" si="32"/>
        <v>640946.23637700302</v>
      </c>
      <c r="M55" s="104">
        <f t="shared" si="32"/>
        <v>13162892.632949727</v>
      </c>
      <c r="N55" s="104">
        <f t="shared" si="32"/>
        <v>5883433.8924804274</v>
      </c>
      <c r="O55" s="104">
        <f t="shared" si="32"/>
        <v>43835179.286029108</v>
      </c>
      <c r="P55" s="104">
        <f t="shared" si="32"/>
        <v>12676929.0752123</v>
      </c>
      <c r="Q55" s="104">
        <f t="shared" si="32"/>
        <v>19444852.88469385</v>
      </c>
      <c r="R55" s="104">
        <f t="shared" si="32"/>
        <v>694365.55290485988</v>
      </c>
      <c r="T55" s="94">
        <f t="shared" si="2"/>
        <v>0</v>
      </c>
    </row>
    <row r="56" spans="1:20" x14ac:dyDescent="0.25">
      <c r="A56" s="16" t="s">
        <v>558</v>
      </c>
      <c r="F56" s="95">
        <f xml:space="preserve"> IF(F8=0,0,(F55/F8)-1)</f>
        <v>5.0195889265439497E-2</v>
      </c>
      <c r="G56" s="95">
        <f t="shared" ref="G56:R56" si="33" xml:space="preserve"> IF(G8=0,0,(G55/G8)-1)</f>
        <v>6.3860189340334994E-2</v>
      </c>
      <c r="H56" s="95">
        <f t="shared" si="33"/>
        <v>3.4486245741327526E-3</v>
      </c>
      <c r="I56" s="95">
        <f t="shared" si="33"/>
        <v>-1.9097097692062359E-3</v>
      </c>
      <c r="J56" s="95">
        <f t="shared" si="33"/>
        <v>4.9222462634999076E-2</v>
      </c>
      <c r="K56" s="95">
        <f t="shared" si="33"/>
        <v>7.4833873120750516E-2</v>
      </c>
      <c r="L56" s="95">
        <f t="shared" si="33"/>
        <v>1.3914655049965625</v>
      </c>
      <c r="M56" s="95">
        <f t="shared" si="33"/>
        <v>0.23165647987340332</v>
      </c>
      <c r="N56" s="95">
        <f t="shared" si="33"/>
        <v>7.0970625473246063E-2</v>
      </c>
      <c r="O56" s="95">
        <f t="shared" si="33"/>
        <v>9.2377210685002487E-2</v>
      </c>
      <c r="P56" s="95">
        <f t="shared" si="33"/>
        <v>0.25298638330875867</v>
      </c>
      <c r="Q56" s="95">
        <f t="shared" si="33"/>
        <v>0.18151966933072039</v>
      </c>
      <c r="R56" s="95">
        <f t="shared" si="33"/>
        <v>1.1408493233016119</v>
      </c>
      <c r="T56" s="94">
        <f t="shared" si="2"/>
        <v>-3.5010847476048768</v>
      </c>
    </row>
    <row r="57" spans="1:20" ht="15.75" thickBot="1" x14ac:dyDescent="0.3">
      <c r="A57" s="19"/>
      <c r="T57" s="94">
        <f t="shared" si="2"/>
        <v>0</v>
      </c>
    </row>
    <row r="58" spans="1:20" ht="15.75" thickTop="1" x14ac:dyDescent="0.25">
      <c r="A58" s="1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T58" s="94">
        <f t="shared" si="2"/>
        <v>0</v>
      </c>
    </row>
    <row r="59" spans="1:20" x14ac:dyDescent="0.25">
      <c r="A59" s="24" t="s">
        <v>559</v>
      </c>
      <c r="F59" s="100">
        <f t="shared" ref="F59:R59" si="34">F8/F55</f>
        <v>0.95220330818420074</v>
      </c>
      <c r="G59" s="100">
        <f t="shared" si="34"/>
        <v>0.93997313746655697</v>
      </c>
      <c r="H59" s="100">
        <f t="shared" si="34"/>
        <v>0.99656322756374671</v>
      </c>
      <c r="I59" s="100">
        <f t="shared" si="34"/>
        <v>1.0019133637386299</v>
      </c>
      <c r="J59" s="100">
        <f t="shared" si="34"/>
        <v>0.95308672432404595</v>
      </c>
      <c r="K59" s="100">
        <f t="shared" si="34"/>
        <v>0.93037633536476438</v>
      </c>
      <c r="L59" s="100">
        <f t="shared" ref="L59:M59" si="35">L8/L55</f>
        <v>0.41815363755432355</v>
      </c>
      <c r="M59" s="100">
        <f t="shared" si="35"/>
        <v>0.81191469889622614</v>
      </c>
      <c r="N59" s="100">
        <f t="shared" si="34"/>
        <v>0.93373242572186776</v>
      </c>
      <c r="O59" s="100">
        <f t="shared" si="34"/>
        <v>0.91543469620070617</v>
      </c>
      <c r="P59" s="100">
        <f t="shared" si="34"/>
        <v>0.79809327006355968</v>
      </c>
      <c r="Q59" s="100">
        <f t="shared" si="34"/>
        <v>0.84636762802811116</v>
      </c>
      <c r="R59" s="100">
        <f t="shared" si="34"/>
        <v>0.46710433523542089</v>
      </c>
      <c r="T59" s="94">
        <f t="shared" si="2"/>
        <v>-9.0605101719737569</v>
      </c>
    </row>
    <row r="60" spans="1:20" x14ac:dyDescent="0.25">
      <c r="A60" s="24" t="s">
        <v>560</v>
      </c>
      <c r="B60" s="54"/>
      <c r="C60" s="54"/>
      <c r="D60" s="54"/>
      <c r="E60" s="54"/>
      <c r="F60" s="105">
        <f>F59/$F$59</f>
        <v>1</v>
      </c>
      <c r="G60" s="105">
        <f t="shared" ref="G60:R60" si="36">G59/$F$59</f>
        <v>0.98715592498731597</v>
      </c>
      <c r="H60" s="105">
        <f t="shared" si="36"/>
        <v>1.0465866049805455</v>
      </c>
      <c r="I60" s="105">
        <f t="shared" si="36"/>
        <v>1.0522052959984183</v>
      </c>
      <c r="J60" s="105">
        <f t="shared" si="36"/>
        <v>1.0009277599985762</v>
      </c>
      <c r="K60" s="105">
        <f t="shared" si="36"/>
        <v>0.97707740286991951</v>
      </c>
      <c r="L60" s="105">
        <f t="shared" ref="L60:M60" si="37">L59/$F$59</f>
        <v>0.43914323124094107</v>
      </c>
      <c r="M60" s="105">
        <f t="shared" si="37"/>
        <v>0.85266947921500369</v>
      </c>
      <c r="N60" s="105">
        <f t="shared" si="36"/>
        <v>0.98060195516695281</v>
      </c>
      <c r="O60" s="105">
        <f t="shared" si="36"/>
        <v>0.96138575484093802</v>
      </c>
      <c r="P60" s="105">
        <f t="shared" si="36"/>
        <v>0.83815427147116262</v>
      </c>
      <c r="Q60" s="105">
        <f t="shared" si="36"/>
        <v>0.88885180376246287</v>
      </c>
      <c r="R60" s="105">
        <f t="shared" si="36"/>
        <v>0.49055105272230476</v>
      </c>
      <c r="T60" s="94">
        <f t="shared" si="2"/>
        <v>-9.5153105372545408</v>
      </c>
    </row>
    <row r="61" spans="1:20" x14ac:dyDescent="0.25">
      <c r="A61" s="20"/>
    </row>
    <row r="62" spans="1:20" x14ac:dyDescent="0.25">
      <c r="A62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3"/>
  <sheetViews>
    <sheetView topLeftCell="C133" zoomScale="85" zoomScaleNormal="85" workbookViewId="0">
      <selection activeCell="L131" sqref="L131:M151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44.140625" style="133" bestFit="1" customWidth="1"/>
    <col min="4" max="4" width="10.5703125" style="19" customWidth="1"/>
    <col min="5" max="5" width="14.285156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3.710937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1.42578125" customWidth="1"/>
  </cols>
  <sheetData>
    <row r="1" spans="1:20" x14ac:dyDescent="0.25">
      <c r="C1" s="133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10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x14ac:dyDescent="0.25">
      <c r="A8" s="34"/>
      <c r="B8" s="35" t="s">
        <v>180</v>
      </c>
      <c r="C8" s="34" t="s">
        <v>181</v>
      </c>
      <c r="D8" s="34" t="s">
        <v>319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134"/>
      <c r="D9" s="21"/>
      <c r="E9" s="21"/>
      <c r="F9" s="21"/>
    </row>
    <row r="10" spans="1:20" x14ac:dyDescent="0.25">
      <c r="A10" s="16"/>
      <c r="B10" s="16"/>
      <c r="C10" s="134"/>
      <c r="D10" s="21"/>
      <c r="E10" s="21"/>
      <c r="F10" s="21"/>
    </row>
    <row r="11" spans="1:20" x14ac:dyDescent="0.25">
      <c r="A11" s="16"/>
      <c r="B11" s="20" t="s">
        <v>183</v>
      </c>
      <c r="C11" s="134"/>
      <c r="D11" s="21"/>
      <c r="E11" s="21"/>
      <c r="F11" s="21"/>
    </row>
    <row r="12" spans="1:20" x14ac:dyDescent="0.25">
      <c r="A12" s="16"/>
      <c r="B12" s="20" t="s">
        <v>184</v>
      </c>
      <c r="C12" s="134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134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39574780.529954813</v>
      </c>
      <c r="H13" s="39">
        <f t="shared" si="8"/>
        <v>10424595.896896569</v>
      </c>
      <c r="I13" s="39">
        <f t="shared" si="8"/>
        <v>11627925.404916855</v>
      </c>
      <c r="J13" s="39">
        <f t="shared" si="8"/>
        <v>7703831.2340077693</v>
      </c>
      <c r="K13" s="39">
        <f t="shared" si="8"/>
        <v>5301829.6681376193</v>
      </c>
      <c r="L13" s="39">
        <f t="shared" si="8"/>
        <v>19330.54425757709</v>
      </c>
      <c r="M13" s="39">
        <f t="shared" si="8"/>
        <v>406237.05725822801</v>
      </c>
      <c r="N13" s="39">
        <f t="shared" si="8"/>
        <v>0</v>
      </c>
      <c r="O13" s="39">
        <f t="shared" si="8"/>
        <v>2344553.8325438541</v>
      </c>
      <c r="P13" s="39">
        <f t="shared" si="8"/>
        <v>0</v>
      </c>
      <c r="Q13" s="39">
        <f t="shared" si="8"/>
        <v>295170.6855814177</v>
      </c>
      <c r="R13" s="39">
        <f t="shared" si="8"/>
        <v>25445.682300178309</v>
      </c>
      <c r="T13" s="97">
        <f>F13-SUM(G13:R13)</f>
        <v>0</v>
      </c>
    </row>
    <row r="14" spans="1:20" x14ac:dyDescent="0.25">
      <c r="A14" s="22">
        <v>300.01</v>
      </c>
      <c r="B14" s="16" t="s">
        <v>186</v>
      </c>
      <c r="C14" s="134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97">
        <f t="shared" ref="T14:T16" si="9">F14-SUM(G14:R14)</f>
        <v>0</v>
      </c>
    </row>
    <row r="15" spans="1:20" x14ac:dyDescent="0.25">
      <c r="A15" s="22">
        <v>300.02</v>
      </c>
      <c r="B15" s="16" t="s">
        <v>187</v>
      </c>
      <c r="C15" s="134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183808286.04895735</v>
      </c>
      <c r="H15" s="39">
        <f t="shared" si="8"/>
        <v>37236722.670139462</v>
      </c>
      <c r="I15" s="39">
        <f t="shared" si="8"/>
        <v>33993505.655576743</v>
      </c>
      <c r="J15" s="39">
        <f t="shared" si="8"/>
        <v>19995169.561019424</v>
      </c>
      <c r="K15" s="39">
        <f t="shared" si="8"/>
        <v>14783780.576200213</v>
      </c>
      <c r="L15" s="39">
        <f t="shared" si="8"/>
        <v>83410.575157197192</v>
      </c>
      <c r="M15" s="39">
        <f t="shared" si="8"/>
        <v>1823331.794510039</v>
      </c>
      <c r="N15" s="39">
        <f t="shared" si="8"/>
        <v>1888832.8072901694</v>
      </c>
      <c r="O15" s="39">
        <f t="shared" si="8"/>
        <v>5176097.7044050479</v>
      </c>
      <c r="P15" s="39">
        <f t="shared" si="8"/>
        <v>2964631.5399600249</v>
      </c>
      <c r="Q15" s="39">
        <f t="shared" si="8"/>
        <v>4266675.1645396687</v>
      </c>
      <c r="R15" s="39">
        <f t="shared" si="8"/>
        <v>85902.966450951382</v>
      </c>
      <c r="T15" s="97">
        <f t="shared" si="9"/>
        <v>0</v>
      </c>
    </row>
    <row r="16" spans="1:20" x14ac:dyDescent="0.25">
      <c r="A16" s="25"/>
      <c r="B16" s="24" t="s">
        <v>188</v>
      </c>
      <c r="C16" s="135"/>
      <c r="D16" s="26"/>
      <c r="E16" s="26"/>
      <c r="F16" s="27">
        <f>SUM(F13:F15)</f>
        <v>432490524.03740108</v>
      </c>
      <c r="G16" s="40">
        <f t="shared" ref="G16:R16" si="10">SUM(G13:G15)</f>
        <v>255738023.0235526</v>
      </c>
      <c r="H16" s="40">
        <f t="shared" si="10"/>
        <v>53429407.114495099</v>
      </c>
      <c r="I16" s="40">
        <f t="shared" si="10"/>
        <v>50200948.470742881</v>
      </c>
      <c r="J16" s="40">
        <f t="shared" si="10"/>
        <v>29649101.609452464</v>
      </c>
      <c r="K16" s="40">
        <f t="shared" si="10"/>
        <v>21804025.789189655</v>
      </c>
      <c r="L16" s="40">
        <f t="shared" si="10"/>
        <v>122337.05931938285</v>
      </c>
      <c r="M16" s="40">
        <f t="shared" si="10"/>
        <v>2654661.1040239399</v>
      </c>
      <c r="N16" s="40">
        <f t="shared" si="10"/>
        <v>2473913.74084531</v>
      </c>
      <c r="O16" s="40">
        <f t="shared" si="10"/>
        <v>7743627.7639883906</v>
      </c>
      <c r="P16" s="40">
        <f t="shared" si="10"/>
        <v>3041670.7943906225</v>
      </c>
      <c r="Q16" s="40">
        <f t="shared" si="10"/>
        <v>5506527.2003843263</v>
      </c>
      <c r="R16" s="40">
        <f t="shared" si="10"/>
        <v>126280.36701634874</v>
      </c>
      <c r="T16" s="97">
        <f t="shared" si="9"/>
        <v>0</v>
      </c>
    </row>
    <row r="17" spans="1:20" x14ac:dyDescent="0.25">
      <c r="A17" s="22"/>
      <c r="B17" s="16"/>
      <c r="C17" s="134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189</v>
      </c>
      <c r="C18" s="134"/>
      <c r="D18" s="21"/>
      <c r="E18" s="37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577</v>
      </c>
      <c r="C19" s="134" t="str">
        <f>INDEX('Alloc Amt'!B:B,MATCH('Rate Base'!D:D,'Alloc Amt'!D:D,0))</f>
        <v>Prob. Of Dispatch - Gen. Gross Plt. - TY Loads</v>
      </c>
      <c r="D19" s="21">
        <v>88</v>
      </c>
      <c r="E19" s="38"/>
      <c r="F19" s="23">
        <v>4097835000</v>
      </c>
      <c r="G19" s="39">
        <f t="shared" ref="G19:R19" si="11">INDEX(Alloc,($D19),(G$1))*$F19</f>
        <v>2086505398.6738062</v>
      </c>
      <c r="H19" s="39">
        <f t="shared" si="11"/>
        <v>549617087.61477077</v>
      </c>
      <c r="I19" s="39">
        <f t="shared" si="11"/>
        <v>613060358.33530927</v>
      </c>
      <c r="J19" s="39">
        <f t="shared" si="11"/>
        <v>406169920.46392667</v>
      </c>
      <c r="K19" s="39">
        <f t="shared" si="11"/>
        <v>279528934.26774305</v>
      </c>
      <c r="L19" s="39">
        <f t="shared" si="11"/>
        <v>1019166.3582874099</v>
      </c>
      <c r="M19" s="39">
        <f t="shared" si="11"/>
        <v>21418079.942833245</v>
      </c>
      <c r="N19" s="39">
        <f t="shared" si="11"/>
        <v>0</v>
      </c>
      <c r="O19" s="39">
        <f t="shared" si="11"/>
        <v>123612163.19017449</v>
      </c>
      <c r="P19" s="39">
        <f t="shared" si="11"/>
        <v>0</v>
      </c>
      <c r="Q19" s="39">
        <f t="shared" si="11"/>
        <v>15562315.715932028</v>
      </c>
      <c r="R19" s="39">
        <f t="shared" si="11"/>
        <v>1341575.4372174954</v>
      </c>
      <c r="T19" s="97">
        <f t="shared" ref="T19:T21" si="12">F19-SUM(G19:R19)</f>
        <v>0</v>
      </c>
    </row>
    <row r="20" spans="1:20" x14ac:dyDescent="0.25">
      <c r="A20" s="22"/>
      <c r="B20" s="16"/>
      <c r="C20" s="134"/>
      <c r="D20" s="21"/>
      <c r="E20" s="38"/>
      <c r="F20" s="23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T20" s="97">
        <f t="shared" si="12"/>
        <v>0</v>
      </c>
    </row>
    <row r="21" spans="1:20" x14ac:dyDescent="0.25">
      <c r="A21" s="25"/>
      <c r="B21" s="24" t="s">
        <v>188</v>
      </c>
      <c r="C21" s="135"/>
      <c r="D21" s="26"/>
      <c r="E21" s="26"/>
      <c r="F21" s="27">
        <f t="shared" ref="F21:R21" si="13">SUM(F19:F20)</f>
        <v>4097835000</v>
      </c>
      <c r="G21" s="40">
        <f t="shared" si="13"/>
        <v>2086505398.6738062</v>
      </c>
      <c r="H21" s="40">
        <f t="shared" si="13"/>
        <v>549617087.61477077</v>
      </c>
      <c r="I21" s="40">
        <f t="shared" si="13"/>
        <v>613060358.33530927</v>
      </c>
      <c r="J21" s="40">
        <f t="shared" si="13"/>
        <v>406169920.46392667</v>
      </c>
      <c r="K21" s="40">
        <f t="shared" si="13"/>
        <v>279528934.26774305</v>
      </c>
      <c r="L21" s="40">
        <f t="shared" si="13"/>
        <v>1019166.3582874099</v>
      </c>
      <c r="M21" s="40">
        <f t="shared" si="13"/>
        <v>21418079.942833245</v>
      </c>
      <c r="N21" s="40">
        <f t="shared" si="13"/>
        <v>0</v>
      </c>
      <c r="O21" s="40">
        <f t="shared" si="13"/>
        <v>123612163.19017449</v>
      </c>
      <c r="P21" s="40">
        <f t="shared" si="13"/>
        <v>0</v>
      </c>
      <c r="Q21" s="40">
        <f t="shared" si="13"/>
        <v>15562315.715932028</v>
      </c>
      <c r="R21" s="40">
        <f t="shared" si="13"/>
        <v>1341575.4372174954</v>
      </c>
      <c r="T21" s="97">
        <f t="shared" si="12"/>
        <v>0</v>
      </c>
    </row>
    <row r="22" spans="1:20" x14ac:dyDescent="0.25">
      <c r="A22" s="22"/>
      <c r="B22" s="16"/>
      <c r="C22" s="134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190</v>
      </c>
      <c r="C23" s="134"/>
      <c r="D23" s="21"/>
      <c r="E23" s="21"/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/>
      <c r="B24" s="16"/>
      <c r="C24" s="134"/>
      <c r="D24" s="21"/>
      <c r="E24" s="37"/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97">
        <f t="shared" ref="T24:T32" si="14">F24-SUM(G24:R24)</f>
        <v>0</v>
      </c>
    </row>
    <row r="25" spans="1:20" x14ac:dyDescent="0.25">
      <c r="A25" s="22">
        <v>350</v>
      </c>
      <c r="B25" s="16" t="s">
        <v>191</v>
      </c>
      <c r="C25" s="134" t="str">
        <f>INDEX('Alloc Amt'!B:B,MATCH('Rate Base'!D:D,'Alloc Amt'!D:D,0))</f>
        <v>Hourly Trans. Gross Plt. - TY Loads</v>
      </c>
      <c r="D25" s="21">
        <v>92</v>
      </c>
      <c r="E25" s="38"/>
      <c r="F25" s="23">
        <v>1231639678.3700972</v>
      </c>
      <c r="G25" s="39">
        <f t="shared" ref="G25:R25" si="15">INDEX(Alloc,($D25),(G$1))*$F25</f>
        <v>574787918.13912845</v>
      </c>
      <c r="H25" s="39">
        <f t="shared" si="15"/>
        <v>146873479.92494154</v>
      </c>
      <c r="I25" s="39">
        <f t="shared" si="15"/>
        <v>163492560.87970549</v>
      </c>
      <c r="J25" s="39">
        <f t="shared" si="15"/>
        <v>106317848.71713068</v>
      </c>
      <c r="K25" s="39">
        <f t="shared" si="15"/>
        <v>73902372.35903731</v>
      </c>
      <c r="L25" s="39">
        <f t="shared" si="15"/>
        <v>231016.44625137447</v>
      </c>
      <c r="M25" s="39">
        <f t="shared" si="15"/>
        <v>6052610.036357821</v>
      </c>
      <c r="N25" s="39">
        <f t="shared" si="15"/>
        <v>18347387.48302329</v>
      </c>
      <c r="O25" s="39">
        <f t="shared" si="15"/>
        <v>32387416.992552739</v>
      </c>
      <c r="P25" s="39">
        <f t="shared" si="15"/>
        <v>105004805.00826524</v>
      </c>
      <c r="Q25" s="39">
        <f t="shared" si="15"/>
        <v>3866955.4942363463</v>
      </c>
      <c r="R25" s="39">
        <f t="shared" si="15"/>
        <v>375306.88946705591</v>
      </c>
      <c r="T25" s="97">
        <f t="shared" si="14"/>
        <v>0</v>
      </c>
    </row>
    <row r="26" spans="1:20" x14ac:dyDescent="0.25">
      <c r="A26" s="22"/>
      <c r="B26" s="16"/>
      <c r="C26" s="134"/>
      <c r="D26" s="21"/>
      <c r="E26" s="38"/>
      <c r="F26" s="2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T26" s="97"/>
    </row>
    <row r="27" spans="1:20" s="71" customFormat="1" x14ac:dyDescent="0.25">
      <c r="A27" s="22">
        <v>350.01</v>
      </c>
      <c r="B27" s="16" t="s">
        <v>192</v>
      </c>
      <c r="C27" s="134" t="str">
        <f>INDEX('Alloc Amt'!B:B,MATCH('Rate Base'!D:D,'Alloc Amt'!D:D,0))</f>
        <v>Total Production Plant</v>
      </c>
      <c r="D27" s="21">
        <v>73</v>
      </c>
      <c r="E27" s="38"/>
      <c r="F27" s="23">
        <v>176912910.8499999</v>
      </c>
      <c r="G27" s="65">
        <f t="shared" ref="G27:R27" si="16">INDEX(Alloc,($D27),(G$1))*$F27</f>
        <v>90079210.994005978</v>
      </c>
      <c r="H27" s="65">
        <f t="shared" si="16"/>
        <v>23728226.935156859</v>
      </c>
      <c r="I27" s="65">
        <f t="shared" si="16"/>
        <v>26467218.060230229</v>
      </c>
      <c r="J27" s="65">
        <f t="shared" si="16"/>
        <v>17535284.590274181</v>
      </c>
      <c r="K27" s="65">
        <f t="shared" si="16"/>
        <v>12067903.521763247</v>
      </c>
      <c r="L27" s="65">
        <f t="shared" si="16"/>
        <v>43999.743055789113</v>
      </c>
      <c r="M27" s="65">
        <f t="shared" si="16"/>
        <v>924667.50552538794</v>
      </c>
      <c r="N27" s="65">
        <f t="shared" si="16"/>
        <v>0</v>
      </c>
      <c r="O27" s="65">
        <f t="shared" si="16"/>
        <v>5336619.8508331776</v>
      </c>
      <c r="P27" s="65">
        <f t="shared" si="16"/>
        <v>0</v>
      </c>
      <c r="Q27" s="65">
        <f t="shared" si="16"/>
        <v>671860.76864301146</v>
      </c>
      <c r="R27" s="65">
        <f t="shared" si="16"/>
        <v>57918.880512028511</v>
      </c>
      <c r="T27" s="130">
        <f t="shared" si="14"/>
        <v>0</v>
      </c>
    </row>
    <row r="28" spans="1:20" s="89" customFormat="1" x14ac:dyDescent="0.25">
      <c r="A28" s="119"/>
      <c r="B28" s="120"/>
      <c r="C28" s="136"/>
      <c r="D28" s="121"/>
      <c r="E28" s="122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T28" s="125"/>
    </row>
    <row r="29" spans="1:20" x14ac:dyDescent="0.25">
      <c r="A29" s="22">
        <v>350.02</v>
      </c>
      <c r="B29" s="16" t="s">
        <v>193</v>
      </c>
      <c r="C29" s="134" t="str">
        <f>INDEX('Alloc Amt'!B:B,MATCH('Rate Base'!D:D,'Alloc Amt'!D:D,0))</f>
        <v>Schedule 449 / 459 Retail Revenue</v>
      </c>
      <c r="D29" s="21">
        <v>6</v>
      </c>
      <c r="E29" s="38"/>
      <c r="F29" s="23">
        <v>405246.36</v>
      </c>
      <c r="G29" s="39">
        <f t="shared" ref="G29:R29" si="17">INDEX(Alloc,($D29),(G$1))*$F29</f>
        <v>0</v>
      </c>
      <c r="H29" s="39">
        <f t="shared" si="17"/>
        <v>0</v>
      </c>
      <c r="I29" s="39">
        <f t="shared" si="17"/>
        <v>0</v>
      </c>
      <c r="J29" s="39">
        <f t="shared" si="17"/>
        <v>0</v>
      </c>
      <c r="K29" s="39">
        <f t="shared" si="17"/>
        <v>0</v>
      </c>
      <c r="L29" s="39"/>
      <c r="M29" s="39"/>
      <c r="N29" s="39">
        <f t="shared" si="17"/>
        <v>0</v>
      </c>
      <c r="O29" s="39">
        <f t="shared" si="17"/>
        <v>0</v>
      </c>
      <c r="P29" s="39">
        <f t="shared" si="17"/>
        <v>405246.36</v>
      </c>
      <c r="Q29" s="39">
        <f t="shared" si="17"/>
        <v>0</v>
      </c>
      <c r="R29" s="39">
        <f t="shared" si="17"/>
        <v>0</v>
      </c>
      <c r="T29" s="97">
        <f t="shared" si="14"/>
        <v>0</v>
      </c>
    </row>
    <row r="30" spans="1:20" x14ac:dyDescent="0.25">
      <c r="A30" s="22"/>
      <c r="B30" s="16"/>
      <c r="C30" s="134"/>
      <c r="D30" s="21"/>
      <c r="E30" s="21"/>
      <c r="F30" s="23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T30" s="97"/>
    </row>
    <row r="31" spans="1:20" x14ac:dyDescent="0.25">
      <c r="A31" s="22">
        <v>350.03</v>
      </c>
      <c r="B31" s="16" t="s">
        <v>194</v>
      </c>
      <c r="C31" s="134" t="str">
        <f>INDEX('Alloc Amt'!B:B,MATCH('Rate Base'!D:D,'Alloc Amt'!D:D,0))</f>
        <v>Total Production Plant</v>
      </c>
      <c r="D31" s="21">
        <v>73</v>
      </c>
      <c r="E31" s="38"/>
      <c r="F31" s="23">
        <v>185779290.94</v>
      </c>
      <c r="G31" s="39">
        <f t="shared" ref="G31:R31" si="18">INDEX(Alloc,($D31),(G$1))*$F31</f>
        <v>94593729.007659316</v>
      </c>
      <c r="H31" s="39">
        <f t="shared" si="18"/>
        <v>24917419.277638055</v>
      </c>
      <c r="I31" s="39">
        <f t="shared" si="18"/>
        <v>27793680.974211026</v>
      </c>
      <c r="J31" s="39">
        <f t="shared" si="18"/>
        <v>18414103.990264244</v>
      </c>
      <c r="K31" s="39">
        <f t="shared" si="18"/>
        <v>12672713.08031562</v>
      </c>
      <c r="L31" s="39">
        <f t="shared" si="18"/>
        <v>46204.887066594179</v>
      </c>
      <c r="M31" s="39">
        <f t="shared" si="18"/>
        <v>971009.2536853716</v>
      </c>
      <c r="N31" s="39">
        <f t="shared" si="18"/>
        <v>0</v>
      </c>
      <c r="O31" s="39">
        <f t="shared" si="18"/>
        <v>5604076.3059103601</v>
      </c>
      <c r="P31" s="39">
        <f t="shared" si="18"/>
        <v>0</v>
      </c>
      <c r="Q31" s="39">
        <f t="shared" si="18"/>
        <v>705532.55050295335</v>
      </c>
      <c r="R31" s="39">
        <f t="shared" si="18"/>
        <v>60821.612746434817</v>
      </c>
      <c r="T31" s="97">
        <f t="shared" si="14"/>
        <v>0</v>
      </c>
    </row>
    <row r="32" spans="1:20" x14ac:dyDescent="0.25">
      <c r="A32" s="25"/>
      <c r="B32" s="24" t="s">
        <v>188</v>
      </c>
      <c r="C32" s="135"/>
      <c r="D32" s="26"/>
      <c r="E32" s="26"/>
      <c r="F32" s="27">
        <f t="shared" ref="F32:R32" si="19">SUM(F24:F31)</f>
        <v>1594737126.520097</v>
      </c>
      <c r="G32" s="27">
        <f t="shared" si="19"/>
        <v>759460858.14079368</v>
      </c>
      <c r="H32" s="27">
        <f t="shared" si="19"/>
        <v>195519126.13773644</v>
      </c>
      <c r="I32" s="27">
        <f t="shared" si="19"/>
        <v>217753459.91414675</v>
      </c>
      <c r="J32" s="27">
        <f t="shared" si="19"/>
        <v>142267237.29766911</v>
      </c>
      <c r="K32" s="27">
        <f t="shared" si="19"/>
        <v>98642988.96111618</v>
      </c>
      <c r="L32" s="27">
        <f t="shared" si="19"/>
        <v>321221.07637375779</v>
      </c>
      <c r="M32" s="27">
        <f t="shared" si="19"/>
        <v>7948286.7955685807</v>
      </c>
      <c r="N32" s="27">
        <f t="shared" si="19"/>
        <v>18347387.48302329</v>
      </c>
      <c r="O32" s="27">
        <f t="shared" si="19"/>
        <v>43328113.149296284</v>
      </c>
      <c r="P32" s="27">
        <f t="shared" si="19"/>
        <v>105410051.36826524</v>
      </c>
      <c r="Q32" s="27">
        <f t="shared" si="19"/>
        <v>5244348.8133823108</v>
      </c>
      <c r="R32" s="27">
        <f t="shared" si="19"/>
        <v>494047.38272551924</v>
      </c>
      <c r="T32" s="97">
        <f t="shared" si="14"/>
        <v>0</v>
      </c>
    </row>
    <row r="33" spans="1:20" x14ac:dyDescent="0.25">
      <c r="A33" s="22"/>
      <c r="B33" s="16"/>
      <c r="C33" s="134"/>
      <c r="D33" s="21"/>
      <c r="E33" s="21"/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0" x14ac:dyDescent="0.25">
      <c r="A34" s="22"/>
      <c r="B34" s="20" t="s">
        <v>195</v>
      </c>
      <c r="C34" s="134"/>
      <c r="D34" s="21"/>
      <c r="E34" s="21"/>
      <c r="F34" s="23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20" x14ac:dyDescent="0.25">
      <c r="A35" s="22">
        <v>360.01</v>
      </c>
      <c r="B35" s="16" t="s">
        <v>196</v>
      </c>
      <c r="C35" s="134" t="str">
        <f>INDEX('Alloc Amt'!B:B,MATCH('Rate Base'!D:D,'Alloc Amt'!D:D,0))</f>
        <v>Direct Assign Substation Land</v>
      </c>
      <c r="D35" s="21">
        <v>36</v>
      </c>
      <c r="E35" s="21"/>
      <c r="F35" s="23">
        <v>4397948.3721314128</v>
      </c>
      <c r="G35" s="39">
        <f t="shared" ref="G35:R42" si="20">INDEX(Alloc,($D35),(G$1))*$F35</f>
        <v>0</v>
      </c>
      <c r="H35" s="39">
        <f t="shared" si="20"/>
        <v>0</v>
      </c>
      <c r="I35" s="39">
        <f t="shared" si="20"/>
        <v>0</v>
      </c>
      <c r="J35" s="39">
        <f t="shared" si="20"/>
        <v>0</v>
      </c>
      <c r="K35" s="39">
        <f t="shared" si="20"/>
        <v>0</v>
      </c>
      <c r="L35" s="39">
        <f t="shared" si="20"/>
        <v>0</v>
      </c>
      <c r="M35" s="39">
        <f t="shared" si="20"/>
        <v>0</v>
      </c>
      <c r="N35" s="39">
        <f t="shared" si="20"/>
        <v>4381901.8082543351</v>
      </c>
      <c r="O35" s="39">
        <f t="shared" si="20"/>
        <v>16046.563877077044</v>
      </c>
      <c r="P35" s="39">
        <f t="shared" si="20"/>
        <v>0</v>
      </c>
      <c r="Q35" s="39">
        <f t="shared" si="20"/>
        <v>0</v>
      </c>
      <c r="R35" s="39">
        <f t="shared" si="20"/>
        <v>0</v>
      </c>
      <c r="T35" s="97">
        <f t="shared" ref="T35:T56" si="21">F35-SUM(G35:R35)</f>
        <v>0</v>
      </c>
    </row>
    <row r="36" spans="1:20" x14ac:dyDescent="0.25">
      <c r="A36" s="22">
        <v>360.02</v>
      </c>
      <c r="B36" s="16" t="s">
        <v>197</v>
      </c>
      <c r="C36" s="134" t="str">
        <f>INDEX('Alloc Amt'!B:B,MATCH('Rate Base'!D:D,'Alloc Amt'!D:D,0))</f>
        <v>Allocate Substation Land - 12 NCP</v>
      </c>
      <c r="D36" s="21">
        <v>42</v>
      </c>
      <c r="E36" s="21"/>
      <c r="F36" s="23">
        <v>47090051.627868585</v>
      </c>
      <c r="G36" s="39">
        <f t="shared" si="20"/>
        <v>21372455.737104561</v>
      </c>
      <c r="H36" s="39">
        <f t="shared" si="20"/>
        <v>6889967.5375397019</v>
      </c>
      <c r="I36" s="39">
        <f t="shared" si="20"/>
        <v>8964074.9893805142</v>
      </c>
      <c r="J36" s="39">
        <f t="shared" si="20"/>
        <v>5268260.9435781874</v>
      </c>
      <c r="K36" s="39">
        <f t="shared" si="20"/>
        <v>4339290.7146512726</v>
      </c>
      <c r="L36" s="39">
        <f t="shared" si="20"/>
        <v>949.85422932245592</v>
      </c>
      <c r="M36" s="39">
        <f t="shared" si="20"/>
        <v>221834.13773903536</v>
      </c>
      <c r="N36" s="39">
        <f t="shared" si="20"/>
        <v>0</v>
      </c>
      <c r="O36" s="39">
        <f t="shared" si="20"/>
        <v>0</v>
      </c>
      <c r="P36" s="39">
        <f t="shared" si="20"/>
        <v>0</v>
      </c>
      <c r="Q36" s="39">
        <f t="shared" si="20"/>
        <v>30334.570252941056</v>
      </c>
      <c r="R36" s="39">
        <f t="shared" si="20"/>
        <v>2883.1433930444241</v>
      </c>
      <c r="T36" s="97">
        <f t="shared" si="21"/>
        <v>0</v>
      </c>
    </row>
    <row r="37" spans="1:20" x14ac:dyDescent="0.25">
      <c r="A37" s="22">
        <v>361.01</v>
      </c>
      <c r="B37" s="16" t="s">
        <v>198</v>
      </c>
      <c r="C37" s="134" t="str">
        <f>INDEX('Alloc Amt'!B:B,MATCH('Rate Base'!D:D,'Alloc Amt'!D:D,0))</f>
        <v>Direct Assign Substation Structures</v>
      </c>
      <c r="D37" s="21">
        <v>37</v>
      </c>
      <c r="E37" s="21"/>
      <c r="F37" s="23">
        <v>652394.54478603089</v>
      </c>
      <c r="G37" s="39">
        <f t="shared" si="20"/>
        <v>0</v>
      </c>
      <c r="H37" s="39">
        <f t="shared" si="20"/>
        <v>0</v>
      </c>
      <c r="I37" s="39">
        <f t="shared" si="20"/>
        <v>0</v>
      </c>
      <c r="J37" s="39">
        <f t="shared" si="20"/>
        <v>0</v>
      </c>
      <c r="K37" s="39">
        <f t="shared" si="20"/>
        <v>0</v>
      </c>
      <c r="L37" s="39">
        <f t="shared" si="20"/>
        <v>0</v>
      </c>
      <c r="M37" s="39">
        <f t="shared" si="20"/>
        <v>0</v>
      </c>
      <c r="N37" s="39">
        <f t="shared" si="20"/>
        <v>359066.02125357295</v>
      </c>
      <c r="O37" s="39">
        <f t="shared" si="20"/>
        <v>134228.77736994543</v>
      </c>
      <c r="P37" s="39">
        <f t="shared" si="20"/>
        <v>159099.74616251249</v>
      </c>
      <c r="Q37" s="39">
        <f t="shared" si="20"/>
        <v>0</v>
      </c>
      <c r="R37" s="39">
        <f t="shared" si="20"/>
        <v>0</v>
      </c>
      <c r="T37" s="97">
        <f t="shared" si="21"/>
        <v>0</v>
      </c>
    </row>
    <row r="38" spans="1:20" x14ac:dyDescent="0.25">
      <c r="A38" s="22">
        <v>361.02</v>
      </c>
      <c r="B38" s="16" t="s">
        <v>199</v>
      </c>
      <c r="C38" s="134" t="str">
        <f>INDEX('Alloc Amt'!B:B,MATCH('Rate Base'!D:D,'Alloc Amt'!D:D,0))</f>
        <v>Allocate Substation Structures - 12 NCP</v>
      </c>
      <c r="D38" s="21">
        <v>43</v>
      </c>
      <c r="E38" s="21"/>
      <c r="F38" s="23">
        <v>7450605.4552139696</v>
      </c>
      <c r="G38" s="39">
        <f t="shared" si="20"/>
        <v>3792899.44249753</v>
      </c>
      <c r="H38" s="39">
        <f t="shared" si="20"/>
        <v>1044125.5497413003</v>
      </c>
      <c r="I38" s="39">
        <f t="shared" si="20"/>
        <v>1296782.1146047371</v>
      </c>
      <c r="J38" s="39">
        <f t="shared" si="20"/>
        <v>754188.6889221567</v>
      </c>
      <c r="K38" s="39">
        <f t="shared" si="20"/>
        <v>495124.92649974383</v>
      </c>
      <c r="L38" s="39">
        <f t="shared" si="20"/>
        <v>1.0767494427319133</v>
      </c>
      <c r="M38" s="39">
        <f t="shared" si="20"/>
        <v>60872.41462068462</v>
      </c>
      <c r="N38" s="39">
        <f t="shared" si="20"/>
        <v>0</v>
      </c>
      <c r="O38" s="39">
        <f t="shared" si="20"/>
        <v>0</v>
      </c>
      <c r="P38" s="39">
        <f t="shared" si="20"/>
        <v>0</v>
      </c>
      <c r="Q38" s="39">
        <f t="shared" si="20"/>
        <v>5763.3013922225664</v>
      </c>
      <c r="R38" s="39">
        <f t="shared" si="20"/>
        <v>847.94018615138168</v>
      </c>
      <c r="T38" s="97">
        <f t="shared" si="21"/>
        <v>0</v>
      </c>
    </row>
    <row r="39" spans="1:20" x14ac:dyDescent="0.25">
      <c r="A39" s="22">
        <v>362.01</v>
      </c>
      <c r="B39" s="16" t="s">
        <v>200</v>
      </c>
      <c r="C39" s="134" t="str">
        <f>INDEX('Alloc Amt'!B:B,MATCH('Rate Base'!D:D,'Alloc Amt'!D:D,0))</f>
        <v>Direct Assign Substation Equipment</v>
      </c>
      <c r="D39" s="21">
        <v>38</v>
      </c>
      <c r="E39" s="21"/>
      <c r="F39" s="23">
        <v>33433473.231653392</v>
      </c>
      <c r="G39" s="39">
        <f t="shared" si="20"/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654749.74004621</v>
      </c>
      <c r="L39" s="39">
        <f t="shared" si="20"/>
        <v>0</v>
      </c>
      <c r="M39" s="39">
        <f t="shared" si="20"/>
        <v>0</v>
      </c>
      <c r="N39" s="39">
        <f t="shared" si="20"/>
        <v>15160583.846818591</v>
      </c>
      <c r="O39" s="39">
        <f t="shared" si="20"/>
        <v>12313198.493169427</v>
      </c>
      <c r="P39" s="39">
        <f t="shared" si="20"/>
        <v>5304941.1516191633</v>
      </c>
      <c r="Q39" s="39">
        <f t="shared" si="20"/>
        <v>0</v>
      </c>
      <c r="R39" s="39">
        <f t="shared" si="20"/>
        <v>0</v>
      </c>
      <c r="T39" s="97">
        <f t="shared" si="21"/>
        <v>0</v>
      </c>
    </row>
    <row r="40" spans="1:20" x14ac:dyDescent="0.25">
      <c r="A40" s="22">
        <v>362.02</v>
      </c>
      <c r="B40" s="16" t="s">
        <v>201</v>
      </c>
      <c r="C40" s="134" t="str">
        <f>INDEX('Alloc Amt'!B:B,MATCH('Rate Base'!D:D,'Alloc Amt'!D:D,0))</f>
        <v>Allocate Substation Equipment - 12 NCP</v>
      </c>
      <c r="D40" s="21">
        <v>44</v>
      </c>
      <c r="E40" s="21"/>
      <c r="F40" s="23">
        <v>437752526.76834661</v>
      </c>
      <c r="G40" s="39">
        <f t="shared" si="20"/>
        <v>244351600.54763758</v>
      </c>
      <c r="H40" s="39">
        <f t="shared" si="20"/>
        <v>59077851.688851751</v>
      </c>
      <c r="I40" s="39">
        <f t="shared" si="20"/>
        <v>64914131.167985559</v>
      </c>
      <c r="J40" s="39">
        <f t="shared" si="20"/>
        <v>34540268.724038981</v>
      </c>
      <c r="K40" s="39">
        <f t="shared" si="20"/>
        <v>30750704.14466393</v>
      </c>
      <c r="L40" s="39">
        <f t="shared" si="20"/>
        <v>113070.2220244175</v>
      </c>
      <c r="M40" s="39">
        <f t="shared" si="20"/>
        <v>3531377.7871913705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353145.04930748604</v>
      </c>
      <c r="R40" s="39">
        <f t="shared" si="20"/>
        <v>120377.43664552382</v>
      </c>
      <c r="T40" s="97">
        <f t="shared" si="21"/>
        <v>0</v>
      </c>
    </row>
    <row r="41" spans="1:20" x14ac:dyDescent="0.25">
      <c r="A41" s="22">
        <v>363.01</v>
      </c>
      <c r="B41" s="16" t="s">
        <v>202</v>
      </c>
      <c r="C41" s="134" t="str">
        <f>INDEX('Alloc Amt'!B:B,MATCH('Rate Base'!D:D,'Alloc Amt'!D:D,0))</f>
        <v>Allocate Substation Equipment - 12 NCP</v>
      </c>
      <c r="D41" s="21">
        <v>44</v>
      </c>
      <c r="E41" s="21"/>
      <c r="F41" s="23">
        <v>1101000</v>
      </c>
      <c r="G41" s="39">
        <f t="shared" si="20"/>
        <v>614573.52214283624</v>
      </c>
      <c r="H41" s="39">
        <f t="shared" si="20"/>
        <v>148587.86810349277</v>
      </c>
      <c r="I41" s="39">
        <f t="shared" si="20"/>
        <v>163266.80954550701</v>
      </c>
      <c r="J41" s="39">
        <f t="shared" si="20"/>
        <v>86872.910011302622</v>
      </c>
      <c r="K41" s="39">
        <f t="shared" si="20"/>
        <v>77341.701516188972</v>
      </c>
      <c r="L41" s="39">
        <f t="shared" si="20"/>
        <v>284.38514191549706</v>
      </c>
      <c r="M41" s="39">
        <f t="shared" si="20"/>
        <v>8881.837810053823</v>
      </c>
      <c r="N41" s="39">
        <f t="shared" si="20"/>
        <v>0</v>
      </c>
      <c r="O41" s="39">
        <f t="shared" si="20"/>
        <v>0</v>
      </c>
      <c r="P41" s="39">
        <f t="shared" si="20"/>
        <v>0</v>
      </c>
      <c r="Q41" s="39">
        <f t="shared" si="20"/>
        <v>888.20206740530625</v>
      </c>
      <c r="R41" s="39">
        <f t="shared" si="20"/>
        <v>302.76366129774038</v>
      </c>
      <c r="T41" s="97">
        <f t="shared" si="21"/>
        <v>0</v>
      </c>
    </row>
    <row r="42" spans="1:20" x14ac:dyDescent="0.25">
      <c r="A42" s="22">
        <v>364.01</v>
      </c>
      <c r="B42" s="16" t="s">
        <v>203</v>
      </c>
      <c r="C42" s="134" t="str">
        <f>INDEX('Alloc Amt'!B:B,MATCH('Rate Base'!D:D,'Alloc Amt'!D:D,0))</f>
        <v>Allocate Overhead Lines - 12 NCP</v>
      </c>
      <c r="D42" s="21">
        <v>45</v>
      </c>
      <c r="E42" s="21"/>
      <c r="F42" s="23">
        <v>372360470.93214625</v>
      </c>
      <c r="G42" s="39">
        <f t="shared" si="20"/>
        <v>256635696.29111663</v>
      </c>
      <c r="H42" s="39">
        <f t="shared" si="20"/>
        <v>46891765.305053428</v>
      </c>
      <c r="I42" s="39">
        <f t="shared" si="20"/>
        <v>36455041.284208007</v>
      </c>
      <c r="J42" s="39">
        <f t="shared" si="20"/>
        <v>14421042.995726857</v>
      </c>
      <c r="K42" s="39">
        <f t="shared" si="20"/>
        <v>13498736.547584774</v>
      </c>
      <c r="L42" s="39">
        <f t="shared" si="20"/>
        <v>338104.22916481865</v>
      </c>
      <c r="M42" s="39">
        <f t="shared" si="20"/>
        <v>3637612.5363462684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225527.48914423192</v>
      </c>
      <c r="R42" s="39">
        <f t="shared" si="20"/>
        <v>256944.25380113986</v>
      </c>
      <c r="T42" s="97">
        <f t="shared" si="21"/>
        <v>0</v>
      </c>
    </row>
    <row r="43" spans="1:20" x14ac:dyDescent="0.25">
      <c r="A43" s="22">
        <v>365.01</v>
      </c>
      <c r="B43" s="16" t="s">
        <v>204</v>
      </c>
      <c r="C43" s="134"/>
      <c r="D43" s="21" t="s">
        <v>320</v>
      </c>
      <c r="E43" s="21"/>
      <c r="F43" s="23">
        <v>71791.370995891833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71791.370995891833</v>
      </c>
      <c r="O43" s="39">
        <v>0</v>
      </c>
      <c r="P43" s="39">
        <v>0</v>
      </c>
      <c r="Q43" s="39">
        <v>0</v>
      </c>
      <c r="R43" s="39">
        <v>0</v>
      </c>
      <c r="T43" s="97">
        <f t="shared" si="21"/>
        <v>0</v>
      </c>
    </row>
    <row r="44" spans="1:20" x14ac:dyDescent="0.25">
      <c r="A44" s="22">
        <v>365.02</v>
      </c>
      <c r="B44" s="16" t="s">
        <v>205</v>
      </c>
      <c r="C44" s="134" t="str">
        <f>INDEX('Alloc Amt'!B:B,MATCH('Rate Base'!D:D,'Alloc Amt'!D:D,0))</f>
        <v>Allocate Overhead Lines - 12 NCP</v>
      </c>
      <c r="D44" s="21">
        <v>45</v>
      </c>
      <c r="E44" s="21"/>
      <c r="F44" s="23">
        <v>471990557.83454573</v>
      </c>
      <c r="G44" s="39">
        <f t="shared" ref="G44:R55" si="22">INDEX(Alloc,($D44),(G$1))*$F44</f>
        <v>325302052.46940446</v>
      </c>
      <c r="H44" s="39">
        <f t="shared" si="22"/>
        <v>59438292.170953557</v>
      </c>
      <c r="I44" s="39">
        <f t="shared" si="22"/>
        <v>46209081.293030679</v>
      </c>
      <c r="J44" s="39">
        <f t="shared" si="22"/>
        <v>18279588.354450829</v>
      </c>
      <c r="K44" s="39">
        <f t="shared" si="22"/>
        <v>17110506.325246107</v>
      </c>
      <c r="L44" s="39">
        <f t="shared" si="22"/>
        <v>428568.594647636</v>
      </c>
      <c r="M44" s="39">
        <f t="shared" si="22"/>
        <v>4610905.0348925982</v>
      </c>
      <c r="N44" s="39">
        <f t="shared" si="22"/>
        <v>0</v>
      </c>
      <c r="O44" s="39">
        <f t="shared" si="22"/>
        <v>0</v>
      </c>
      <c r="P44" s="39">
        <f t="shared" si="22"/>
        <v>0</v>
      </c>
      <c r="Q44" s="39">
        <f t="shared" si="22"/>
        <v>285870.4231996953</v>
      </c>
      <c r="R44" s="39">
        <f t="shared" si="22"/>
        <v>325693.16872005083</v>
      </c>
      <c r="T44" s="97">
        <f t="shared" si="21"/>
        <v>0</v>
      </c>
    </row>
    <row r="45" spans="1:20" x14ac:dyDescent="0.25">
      <c r="A45" s="22">
        <v>366.01</v>
      </c>
      <c r="B45" s="16" t="s">
        <v>206</v>
      </c>
      <c r="C45" s="134" t="str">
        <f>INDEX('Alloc Amt'!B:B,MATCH('Rate Base'!D:D,'Alloc Amt'!D:D,0))</f>
        <v>Direct Assign UG Dist Lines</v>
      </c>
      <c r="D45" s="21">
        <v>40</v>
      </c>
      <c r="E45" s="21"/>
      <c r="F45" s="23">
        <v>28743419.414837807</v>
      </c>
      <c r="G45" s="39">
        <f t="shared" si="22"/>
        <v>0</v>
      </c>
      <c r="H45" s="39">
        <f t="shared" si="22"/>
        <v>0</v>
      </c>
      <c r="I45" s="39">
        <f t="shared" si="22"/>
        <v>0</v>
      </c>
      <c r="J45" s="39">
        <f t="shared" si="22"/>
        <v>0</v>
      </c>
      <c r="K45" s="39">
        <f t="shared" si="22"/>
        <v>0</v>
      </c>
      <c r="L45" s="39">
        <f t="shared" si="22"/>
        <v>0</v>
      </c>
      <c r="M45" s="39">
        <f t="shared" si="22"/>
        <v>0</v>
      </c>
      <c r="N45" s="39">
        <f t="shared" si="22"/>
        <v>23101629.51589638</v>
      </c>
      <c r="O45" s="39">
        <f t="shared" si="22"/>
        <v>5608088.4825534066</v>
      </c>
      <c r="P45" s="39">
        <f t="shared" si="22"/>
        <v>33701.416388018217</v>
      </c>
      <c r="Q45" s="39">
        <f t="shared" si="22"/>
        <v>0</v>
      </c>
      <c r="R45" s="39">
        <f t="shared" si="22"/>
        <v>0</v>
      </c>
      <c r="T45" s="97">
        <f t="shared" si="21"/>
        <v>0</v>
      </c>
    </row>
    <row r="46" spans="1:20" x14ac:dyDescent="0.25">
      <c r="A46" s="22">
        <v>366.02</v>
      </c>
      <c r="B46" s="16" t="s">
        <v>207</v>
      </c>
      <c r="C46" s="134" t="str">
        <f>INDEX('Alloc Amt'!B:B,MATCH('Rate Base'!D:D,'Alloc Amt'!D:D,0))</f>
        <v>Allocate Underground Lines - 12 NCP</v>
      </c>
      <c r="D46" s="21">
        <v>47</v>
      </c>
      <c r="E46" s="21"/>
      <c r="F46" s="23">
        <v>718024871.41305971</v>
      </c>
      <c r="G46" s="39">
        <f t="shared" si="22"/>
        <v>483226813.4581219</v>
      </c>
      <c r="H46" s="39">
        <f t="shared" si="22"/>
        <v>86105106.443105906</v>
      </c>
      <c r="I46" s="39">
        <f t="shared" si="22"/>
        <v>80351473.792921528</v>
      </c>
      <c r="J46" s="39">
        <f t="shared" si="22"/>
        <v>34886382.524484321</v>
      </c>
      <c r="K46" s="39">
        <f t="shared" si="22"/>
        <v>24883749.128798679</v>
      </c>
      <c r="L46" s="39">
        <f t="shared" si="22"/>
        <v>295514.54824585636</v>
      </c>
      <c r="M46" s="39">
        <f t="shared" si="22"/>
        <v>7748177.8300317181</v>
      </c>
      <c r="N46" s="39">
        <f t="shared" si="22"/>
        <v>0</v>
      </c>
      <c r="O46" s="39">
        <f t="shared" si="22"/>
        <v>0</v>
      </c>
      <c r="P46" s="39">
        <f t="shared" si="22"/>
        <v>0</v>
      </c>
      <c r="Q46" s="39">
        <f t="shared" si="22"/>
        <v>331118.71068511618</v>
      </c>
      <c r="R46" s="39">
        <f t="shared" si="22"/>
        <v>196534.97666471408</v>
      </c>
      <c r="T46" s="97">
        <f t="shared" si="21"/>
        <v>0</v>
      </c>
    </row>
    <row r="47" spans="1:20" x14ac:dyDescent="0.25">
      <c r="A47" s="22">
        <v>367.01</v>
      </c>
      <c r="B47" s="16" t="s">
        <v>208</v>
      </c>
      <c r="C47" s="134" t="str">
        <f>INDEX('Alloc Amt'!B:B,MATCH('Rate Base'!D:D,'Alloc Amt'!D:D,0))</f>
        <v>Allocate Underground Lines - 12 NCP</v>
      </c>
      <c r="D47" s="21">
        <v>47</v>
      </c>
      <c r="E47" s="21"/>
      <c r="F47" s="23">
        <v>986578386.56156349</v>
      </c>
      <c r="G47" s="39">
        <f t="shared" si="22"/>
        <v>663961861.13523018</v>
      </c>
      <c r="H47" s="39">
        <f t="shared" si="22"/>
        <v>118309880.85715218</v>
      </c>
      <c r="I47" s="39">
        <f t="shared" si="22"/>
        <v>110404291.72941658</v>
      </c>
      <c r="J47" s="39">
        <f t="shared" si="22"/>
        <v>47934482.988369167</v>
      </c>
      <c r="K47" s="39">
        <f t="shared" si="22"/>
        <v>34190694.562960498</v>
      </c>
      <c r="L47" s="39">
        <f t="shared" si="22"/>
        <v>406042.01584285608</v>
      </c>
      <c r="M47" s="39">
        <f t="shared" si="22"/>
        <v>10646128.131050883</v>
      </c>
      <c r="N47" s="39">
        <f t="shared" si="22"/>
        <v>0</v>
      </c>
      <c r="O47" s="39">
        <f t="shared" si="22"/>
        <v>0</v>
      </c>
      <c r="P47" s="39">
        <f t="shared" si="22"/>
        <v>0</v>
      </c>
      <c r="Q47" s="39">
        <f t="shared" si="22"/>
        <v>454962.74064320017</v>
      </c>
      <c r="R47" s="39">
        <f t="shared" si="22"/>
        <v>270042.40089789941</v>
      </c>
      <c r="T47" s="97">
        <f t="shared" si="21"/>
        <v>0</v>
      </c>
    </row>
    <row r="48" spans="1:20" x14ac:dyDescent="0.25">
      <c r="A48" s="22" t="s">
        <v>209</v>
      </c>
      <c r="B48" s="16" t="s">
        <v>210</v>
      </c>
      <c r="C48" s="134" t="str">
        <f>INDEX('Alloc Amt'!B:B,MATCH('Rate Base'!D:D,'Alloc Amt'!D:D,0))</f>
        <v>Allocate Overhead Transformers</v>
      </c>
      <c r="D48" s="21">
        <v>46</v>
      </c>
      <c r="E48" s="21"/>
      <c r="F48" s="23">
        <v>173605063.30048591</v>
      </c>
      <c r="G48" s="39">
        <f t="shared" si="22"/>
        <v>129622783.85526644</v>
      </c>
      <c r="H48" s="39">
        <f t="shared" si="22"/>
        <v>21229564.703891553</v>
      </c>
      <c r="I48" s="39">
        <f t="shared" si="22"/>
        <v>3103642.0998950875</v>
      </c>
      <c r="J48" s="39">
        <f t="shared" si="22"/>
        <v>34997.8638195979</v>
      </c>
      <c r="K48" s="39">
        <f t="shared" si="22"/>
        <v>0</v>
      </c>
      <c r="L48" s="39">
        <f t="shared" si="22"/>
        <v>0</v>
      </c>
      <c r="M48" s="39">
        <f t="shared" si="22"/>
        <v>0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19614074.777613256</v>
      </c>
      <c r="R48" s="39">
        <f t="shared" si="22"/>
        <v>0</v>
      </c>
      <c r="T48" s="97">
        <f t="shared" si="21"/>
        <v>0</v>
      </c>
    </row>
    <row r="49" spans="1:20" x14ac:dyDescent="0.25">
      <c r="A49" s="22" t="s">
        <v>211</v>
      </c>
      <c r="B49" s="16" t="s">
        <v>212</v>
      </c>
      <c r="C49" s="134" t="str">
        <f>INDEX('Alloc Amt'!B:B,MATCH('Rate Base'!D:D,'Alloc Amt'!D:D,0))</f>
        <v>Allocate Underground Transformers</v>
      </c>
      <c r="D49" s="21">
        <v>48</v>
      </c>
      <c r="E49" s="21"/>
      <c r="F49" s="23">
        <v>318350548.27234882</v>
      </c>
      <c r="G49" s="39">
        <f t="shared" si="22"/>
        <v>254323105.00839216</v>
      </c>
      <c r="H49" s="39">
        <f t="shared" si="22"/>
        <v>39317021.423054866</v>
      </c>
      <c r="I49" s="39">
        <f t="shared" si="22"/>
        <v>18739241.351015534</v>
      </c>
      <c r="J49" s="39">
        <f t="shared" si="22"/>
        <v>5178058.4964268021</v>
      </c>
      <c r="K49" s="39">
        <f t="shared" si="22"/>
        <v>0</v>
      </c>
      <c r="L49" s="39">
        <f t="shared" si="22"/>
        <v>0</v>
      </c>
      <c r="M49" s="39">
        <f t="shared" si="22"/>
        <v>0</v>
      </c>
      <c r="N49" s="39">
        <f t="shared" si="22"/>
        <v>0</v>
      </c>
      <c r="O49" s="39">
        <f t="shared" si="22"/>
        <v>0</v>
      </c>
      <c r="P49" s="39">
        <f t="shared" si="22"/>
        <v>0</v>
      </c>
      <c r="Q49" s="39">
        <f t="shared" si="22"/>
        <v>793121.9934594743</v>
      </c>
      <c r="R49" s="39">
        <f t="shared" si="22"/>
        <v>0</v>
      </c>
      <c r="T49" s="97">
        <f t="shared" si="21"/>
        <v>0</v>
      </c>
    </row>
    <row r="50" spans="1:20" x14ac:dyDescent="0.25">
      <c r="A50" s="22">
        <v>368.03</v>
      </c>
      <c r="B50" s="16" t="s">
        <v>213</v>
      </c>
      <c r="C50" s="134" t="str">
        <f>INDEX('Alloc Amt'!B:B,MATCH('Rate Base'!D:D,'Alloc Amt'!D:D,0))</f>
        <v>Line Transformers</v>
      </c>
      <c r="D50" s="21">
        <v>41</v>
      </c>
      <c r="E50" s="21"/>
      <c r="F50" s="23">
        <v>7577844.9767851122</v>
      </c>
      <c r="G50" s="39">
        <f t="shared" si="22"/>
        <v>0</v>
      </c>
      <c r="H50" s="39">
        <f t="shared" si="22"/>
        <v>0</v>
      </c>
      <c r="I50" s="39">
        <f t="shared" si="22"/>
        <v>0</v>
      </c>
      <c r="J50" s="39">
        <f t="shared" si="22"/>
        <v>0</v>
      </c>
      <c r="K50" s="39">
        <f t="shared" si="22"/>
        <v>2507661.8666352136</v>
      </c>
      <c r="L50" s="39">
        <f t="shared" si="22"/>
        <v>0</v>
      </c>
      <c r="M50" s="39">
        <f t="shared" si="22"/>
        <v>143717.78811025881</v>
      </c>
      <c r="N50" s="39">
        <f t="shared" si="22"/>
        <v>4867465.4686576258</v>
      </c>
      <c r="O50" s="39">
        <f t="shared" si="22"/>
        <v>0</v>
      </c>
      <c r="P50" s="39">
        <f t="shared" si="22"/>
        <v>0</v>
      </c>
      <c r="Q50" s="39">
        <f t="shared" si="22"/>
        <v>0</v>
      </c>
      <c r="R50" s="39">
        <f t="shared" si="22"/>
        <v>58999.853382014429</v>
      </c>
      <c r="T50" s="97">
        <f t="shared" si="21"/>
        <v>0</v>
      </c>
    </row>
    <row r="51" spans="1:20" x14ac:dyDescent="0.25">
      <c r="A51" s="22" t="s">
        <v>214</v>
      </c>
      <c r="B51" s="16" t="s">
        <v>215</v>
      </c>
      <c r="C51" s="134" t="str">
        <f>INDEX('Alloc Amt'!B:B,MATCH('Rate Base'!D:D,'Alloc Amt'!D:D,0))</f>
        <v>Dist OH Services (Sec Voltage Only)</v>
      </c>
      <c r="D51" s="21">
        <v>20</v>
      </c>
      <c r="E51" s="21"/>
      <c r="F51" s="23">
        <v>40889975.452172115</v>
      </c>
      <c r="G51" s="39">
        <f t="shared" si="22"/>
        <v>35287388.224718876</v>
      </c>
      <c r="H51" s="39">
        <f t="shared" si="22"/>
        <v>5391540.3962266576</v>
      </c>
      <c r="I51" s="39">
        <f t="shared" si="22"/>
        <v>206571.28579529174</v>
      </c>
      <c r="J51" s="39">
        <f t="shared" si="22"/>
        <v>4475.5454312894217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0</v>
      </c>
      <c r="R51" s="39">
        <f t="shared" si="22"/>
        <v>0</v>
      </c>
      <c r="T51" s="97">
        <f t="shared" si="21"/>
        <v>0</v>
      </c>
    </row>
    <row r="52" spans="1:20" x14ac:dyDescent="0.25">
      <c r="A52" s="22" t="s">
        <v>216</v>
      </c>
      <c r="B52" s="16" t="s">
        <v>217</v>
      </c>
      <c r="C52" s="134" t="str">
        <f>INDEX('Alloc Amt'!B:B,MATCH('Rate Base'!D:D,'Alloc Amt'!D:D,0))</f>
        <v>Residential Allocation Only</v>
      </c>
      <c r="D52" s="21">
        <v>24</v>
      </c>
      <c r="E52" s="21"/>
      <c r="F52" s="23">
        <v>148141818.81021541</v>
      </c>
      <c r="G52" s="39">
        <f t="shared" si="22"/>
        <v>148141818.81021541</v>
      </c>
      <c r="H52" s="39">
        <f t="shared" si="22"/>
        <v>0</v>
      </c>
      <c r="I52" s="39">
        <f t="shared" si="22"/>
        <v>0</v>
      </c>
      <c r="J52" s="39">
        <f t="shared" si="22"/>
        <v>0</v>
      </c>
      <c r="K52" s="39">
        <f t="shared" si="22"/>
        <v>0</v>
      </c>
      <c r="L52" s="39">
        <f t="shared" si="22"/>
        <v>0</v>
      </c>
      <c r="M52" s="39">
        <f t="shared" si="22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0</v>
      </c>
      <c r="R52" s="39">
        <f t="shared" si="22"/>
        <v>0</v>
      </c>
      <c r="T52" s="97">
        <f t="shared" si="21"/>
        <v>0</v>
      </c>
    </row>
    <row r="53" spans="1:20" x14ac:dyDescent="0.25">
      <c r="A53" s="22">
        <v>370.01</v>
      </c>
      <c r="B53" s="16" t="s">
        <v>218</v>
      </c>
      <c r="C53" s="134" t="str">
        <f>INDEX('Alloc Amt'!B:B,MATCH('Rate Base'!D:D,'Alloc Amt'!D:D,0))</f>
        <v>Meter Investment</v>
      </c>
      <c r="D53" s="21">
        <v>19</v>
      </c>
      <c r="E53" s="21"/>
      <c r="F53" s="23">
        <v>206004867.61000001</v>
      </c>
      <c r="G53" s="39">
        <f t="shared" si="22"/>
        <v>133743709.16973646</v>
      </c>
      <c r="H53" s="39">
        <f t="shared" si="22"/>
        <v>37539912.318899311</v>
      </c>
      <c r="I53" s="39">
        <f t="shared" si="22"/>
        <v>11094399.206289688</v>
      </c>
      <c r="J53" s="39">
        <f t="shared" si="22"/>
        <v>1246915.3080466578</v>
      </c>
      <c r="K53" s="39">
        <f t="shared" si="22"/>
        <v>14935303.536787456</v>
      </c>
      <c r="L53" s="39">
        <f t="shared" si="22"/>
        <v>48424.959903730029</v>
      </c>
      <c r="M53" s="39">
        <f t="shared" si="22"/>
        <v>4826816.6046611229</v>
      </c>
      <c r="N53" s="39">
        <f t="shared" si="22"/>
        <v>976230.67360039195</v>
      </c>
      <c r="O53" s="39">
        <f t="shared" si="22"/>
        <v>606236.92276222247</v>
      </c>
      <c r="P53" s="39">
        <f t="shared" si="22"/>
        <v>976036.22035163466</v>
      </c>
      <c r="Q53" s="39">
        <f t="shared" si="22"/>
        <v>0</v>
      </c>
      <c r="R53" s="39">
        <f t="shared" si="22"/>
        <v>10882.688961321393</v>
      </c>
      <c r="T53" s="97">
        <f t="shared" si="21"/>
        <v>0</v>
      </c>
    </row>
    <row r="54" spans="1:20" x14ac:dyDescent="0.25">
      <c r="A54" s="22">
        <v>373</v>
      </c>
      <c r="B54" s="16" t="s">
        <v>219</v>
      </c>
      <c r="C54" s="134" t="str">
        <f>INDEX('Alloc Amt'!B:B,MATCH('Rate Base'!D:D,'Alloc Amt'!D:D,0))</f>
        <v>Str. &amp; Signal Systems</v>
      </c>
      <c r="D54" s="21">
        <v>12</v>
      </c>
      <c r="E54" s="21"/>
      <c r="F54" s="23">
        <v>57279322.090746596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0</v>
      </c>
      <c r="L54" s="39">
        <f t="shared" si="22"/>
        <v>0</v>
      </c>
      <c r="M54" s="39">
        <f t="shared" si="22"/>
        <v>0</v>
      </c>
      <c r="N54" s="39">
        <f t="shared" si="22"/>
        <v>0</v>
      </c>
      <c r="O54" s="39">
        <f t="shared" si="22"/>
        <v>0</v>
      </c>
      <c r="P54" s="39">
        <f t="shared" si="22"/>
        <v>0</v>
      </c>
      <c r="Q54" s="39">
        <f t="shared" si="22"/>
        <v>57279322.090746596</v>
      </c>
      <c r="R54" s="39">
        <f t="shared" si="22"/>
        <v>0</v>
      </c>
      <c r="T54" s="97">
        <f t="shared" si="21"/>
        <v>0</v>
      </c>
    </row>
    <row r="55" spans="1:20" x14ac:dyDescent="0.25">
      <c r="A55" s="22">
        <v>374</v>
      </c>
      <c r="B55" s="16" t="s">
        <v>220</v>
      </c>
      <c r="C55" s="134" t="str">
        <f>INDEX('Alloc Amt'!B:B,MATCH('Rate Base'!D:D,'Alloc Amt'!D:D,0))</f>
        <v>Total Distribution OH &amp; UG Lines</v>
      </c>
      <c r="D55" s="21">
        <v>71</v>
      </c>
      <c r="E55" s="21"/>
      <c r="F55" s="23">
        <v>27779665.853999924</v>
      </c>
      <c r="G55" s="39">
        <f t="shared" si="22"/>
        <v>18634154.181036007</v>
      </c>
      <c r="H55" s="39">
        <f t="shared" si="22"/>
        <v>3348784.1011199537</v>
      </c>
      <c r="I55" s="39">
        <f t="shared" si="22"/>
        <v>2946544.7304464811</v>
      </c>
      <c r="J55" s="39">
        <f t="shared" si="22"/>
        <v>1244932.3280795426</v>
      </c>
      <c r="K55" s="39">
        <f t="shared" si="22"/>
        <v>966487.82899679535</v>
      </c>
      <c r="L55" s="39">
        <f t="shared" si="22"/>
        <v>15822.563589197602</v>
      </c>
      <c r="M55" s="39">
        <f t="shared" si="22"/>
        <v>287119.82814793207</v>
      </c>
      <c r="N55" s="39">
        <f t="shared" si="22"/>
        <v>249731.36254017986</v>
      </c>
      <c r="O55" s="39">
        <f t="shared" si="22"/>
        <v>60436.289697138956</v>
      </c>
      <c r="P55" s="39">
        <f t="shared" si="22"/>
        <v>363.18766552392367</v>
      </c>
      <c r="Q55" s="39">
        <f t="shared" si="22"/>
        <v>13982.453904374266</v>
      </c>
      <c r="R55" s="39">
        <f t="shared" si="22"/>
        <v>11306.998776795182</v>
      </c>
      <c r="T55" s="97">
        <f t="shared" si="21"/>
        <v>0</v>
      </c>
    </row>
    <row r="56" spans="1:20" x14ac:dyDescent="0.25">
      <c r="A56" s="25"/>
      <c r="B56" s="24" t="s">
        <v>188</v>
      </c>
      <c r="C56" s="135"/>
      <c r="D56" s="26"/>
      <c r="E56" s="26"/>
      <c r="F56" s="27">
        <f>SUM(F35:F55)</f>
        <v>4089276603.8939037</v>
      </c>
      <c r="G56" s="40">
        <f t="shared" ref="G56:R56" si="23">SUM(G35:G55)</f>
        <v>2719010911.8526211</v>
      </c>
      <c r="H56" s="40">
        <f t="shared" si="23"/>
        <v>484732400.36369371</v>
      </c>
      <c r="I56" s="40">
        <f t="shared" si="23"/>
        <v>384848541.8545351</v>
      </c>
      <c r="J56" s="40">
        <f t="shared" si="23"/>
        <v>163880467.67138571</v>
      </c>
      <c r="K56" s="40">
        <f t="shared" si="23"/>
        <v>144410351.02438688</v>
      </c>
      <c r="L56" s="40">
        <f t="shared" si="23"/>
        <v>1646782.449539193</v>
      </c>
      <c r="M56" s="40">
        <f t="shared" si="23"/>
        <v>35723443.930601932</v>
      </c>
      <c r="N56" s="40">
        <f t="shared" si="23"/>
        <v>49168400.068016969</v>
      </c>
      <c r="O56" s="40">
        <f t="shared" si="23"/>
        <v>18738235.52942922</v>
      </c>
      <c r="P56" s="40">
        <f t="shared" si="23"/>
        <v>6474141.7221868522</v>
      </c>
      <c r="Q56" s="40">
        <f t="shared" si="23"/>
        <v>79388111.802415997</v>
      </c>
      <c r="R56" s="40">
        <f t="shared" si="23"/>
        <v>1254815.6250899525</v>
      </c>
      <c r="T56" s="97">
        <f t="shared" si="21"/>
        <v>0</v>
      </c>
    </row>
    <row r="57" spans="1:20" x14ac:dyDescent="0.25">
      <c r="A57" s="22"/>
      <c r="B57" s="16"/>
      <c r="C57" s="134"/>
      <c r="D57" s="21"/>
      <c r="E57" s="21"/>
      <c r="F57" s="2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20" x14ac:dyDescent="0.25">
      <c r="A58" s="22"/>
      <c r="B58" s="20" t="s">
        <v>221</v>
      </c>
      <c r="C58" s="134"/>
      <c r="D58" s="21"/>
      <c r="E58" s="21"/>
      <c r="F58" s="23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20" x14ac:dyDescent="0.25">
      <c r="A59" s="22">
        <v>389</v>
      </c>
      <c r="B59" s="16" t="s">
        <v>222</v>
      </c>
      <c r="C59" s="134" t="str">
        <f>INDEX('Alloc Amt'!B:B,MATCH('Rate Base'!D:D,'Alloc Amt'!D:D,0))</f>
        <v>Salary &amp; Wages - Total</v>
      </c>
      <c r="D59" s="21">
        <v>78</v>
      </c>
      <c r="E59" s="21"/>
      <c r="F59" s="23">
        <v>36039223.299999997</v>
      </c>
      <c r="G59" s="39">
        <f t="shared" ref="G59:R69" si="24">INDEX(Alloc,($D59),(G$1))*$F59</f>
        <v>21697789.271071456</v>
      </c>
      <c r="H59" s="39">
        <f t="shared" si="24"/>
        <v>4375970.8696875433</v>
      </c>
      <c r="I59" s="39">
        <f t="shared" si="24"/>
        <v>3977049.2663565646</v>
      </c>
      <c r="J59" s="39">
        <f t="shared" si="24"/>
        <v>2340256.3654569234</v>
      </c>
      <c r="K59" s="39">
        <f t="shared" si="24"/>
        <v>1730962.9017573255</v>
      </c>
      <c r="L59" s="39">
        <f t="shared" si="24"/>
        <v>9751.971189963313</v>
      </c>
      <c r="M59" s="39">
        <f t="shared" si="24"/>
        <v>213243.41430297884</v>
      </c>
      <c r="N59" s="39">
        <f t="shared" si="24"/>
        <v>221170.18382611845</v>
      </c>
      <c r="O59" s="39">
        <f t="shared" si="24"/>
        <v>605729.89368620876</v>
      </c>
      <c r="P59" s="39">
        <f t="shared" si="24"/>
        <v>348047.22902374796</v>
      </c>
      <c r="Q59" s="39">
        <f t="shared" si="24"/>
        <v>509206.9925102198</v>
      </c>
      <c r="R59" s="39">
        <f t="shared" si="24"/>
        <v>10044.941130943849</v>
      </c>
      <c r="T59" s="97">
        <f t="shared" ref="T59:T72" si="25">F59-SUM(G59:R59)</f>
        <v>0</v>
      </c>
    </row>
    <row r="60" spans="1:20" x14ac:dyDescent="0.25">
      <c r="A60" s="22">
        <v>390</v>
      </c>
      <c r="B60" s="16" t="s">
        <v>223</v>
      </c>
      <c r="C60" s="134" t="str">
        <f>INDEX('Alloc Amt'!B:B,MATCH('Rate Base'!D:D,'Alloc Amt'!D:D,0))</f>
        <v>Salary &amp; Wages - Total</v>
      </c>
      <c r="D60" s="21">
        <v>78</v>
      </c>
      <c r="E60" s="21"/>
      <c r="F60" s="23">
        <v>202454183.79999998</v>
      </c>
      <c r="G60" s="39">
        <f t="shared" si="24"/>
        <v>121889647.30377996</v>
      </c>
      <c r="H60" s="39">
        <f t="shared" si="24"/>
        <v>24582483.461988695</v>
      </c>
      <c r="I60" s="39">
        <f t="shared" si="24"/>
        <v>22341498.773437969</v>
      </c>
      <c r="J60" s="39">
        <f t="shared" si="24"/>
        <v>13146639.937474344</v>
      </c>
      <c r="K60" s="39">
        <f t="shared" si="24"/>
        <v>9723868.8677111119</v>
      </c>
      <c r="L60" s="39">
        <f t="shared" si="24"/>
        <v>54782.739108174319</v>
      </c>
      <c r="M60" s="39">
        <f t="shared" si="24"/>
        <v>1197917.6419552534</v>
      </c>
      <c r="N60" s="39">
        <f t="shared" si="24"/>
        <v>1242447.1158736867</v>
      </c>
      <c r="O60" s="39">
        <f t="shared" si="24"/>
        <v>3402752.3348290962</v>
      </c>
      <c r="P60" s="39">
        <f t="shared" si="24"/>
        <v>1955192.4604283734</v>
      </c>
      <c r="Q60" s="39">
        <f t="shared" si="24"/>
        <v>2860524.634389367</v>
      </c>
      <c r="R60" s="39">
        <f t="shared" si="24"/>
        <v>56428.529023939474</v>
      </c>
      <c r="T60" s="97">
        <f t="shared" si="25"/>
        <v>0</v>
      </c>
    </row>
    <row r="61" spans="1:20" x14ac:dyDescent="0.25">
      <c r="A61" s="22">
        <v>391</v>
      </c>
      <c r="B61" s="16" t="s">
        <v>224</v>
      </c>
      <c r="C61" s="134" t="str">
        <f>INDEX('Alloc Amt'!B:B,MATCH('Rate Base'!D:D,'Alloc Amt'!D:D,0))</f>
        <v>Salary &amp; Wages - Total</v>
      </c>
      <c r="D61" s="21">
        <v>78</v>
      </c>
      <c r="E61" s="21"/>
      <c r="F61" s="23">
        <v>109384337.50000001</v>
      </c>
      <c r="G61" s="39">
        <f t="shared" si="24"/>
        <v>65855978.217786945</v>
      </c>
      <c r="H61" s="39">
        <f t="shared" si="24"/>
        <v>13281714.495219735</v>
      </c>
      <c r="I61" s="39">
        <f t="shared" si="24"/>
        <v>12070928.820635097</v>
      </c>
      <c r="J61" s="39">
        <f t="shared" si="24"/>
        <v>7103021.893251054</v>
      </c>
      <c r="K61" s="39">
        <f t="shared" si="24"/>
        <v>5253726.7151870802</v>
      </c>
      <c r="L61" s="39">
        <f t="shared" si="24"/>
        <v>29598.665294577084</v>
      </c>
      <c r="M61" s="39">
        <f t="shared" si="24"/>
        <v>647225.09155099827</v>
      </c>
      <c r="N61" s="39">
        <f t="shared" si="24"/>
        <v>671284.00163310918</v>
      </c>
      <c r="O61" s="39">
        <f t="shared" si="24"/>
        <v>1838479.2195233407</v>
      </c>
      <c r="P61" s="39">
        <f t="shared" si="24"/>
        <v>1056374.4742377244</v>
      </c>
      <c r="Q61" s="39">
        <f t="shared" si="24"/>
        <v>1545518.0335725455</v>
      </c>
      <c r="R61" s="39">
        <f t="shared" si="24"/>
        <v>30487.872107798557</v>
      </c>
      <c r="T61" s="97">
        <f t="shared" si="25"/>
        <v>0</v>
      </c>
    </row>
    <row r="62" spans="1:20" x14ac:dyDescent="0.25">
      <c r="A62" s="22">
        <v>392</v>
      </c>
      <c r="B62" s="16" t="s">
        <v>225</v>
      </c>
      <c r="C62" s="134" t="str">
        <f>INDEX('Alloc Amt'!B:B,MATCH('Rate Base'!D:D,'Alloc Amt'!D:D,0))</f>
        <v>Salary &amp; Wages - Total</v>
      </c>
      <c r="D62" s="21">
        <v>78</v>
      </c>
      <c r="E62" s="21"/>
      <c r="F62" s="23">
        <v>15439498.100000001</v>
      </c>
      <c r="G62" s="39">
        <f t="shared" si="24"/>
        <v>9295510.4341804218</v>
      </c>
      <c r="H62" s="39">
        <f t="shared" si="24"/>
        <v>1874701.7205611137</v>
      </c>
      <c r="I62" s="39">
        <f t="shared" si="24"/>
        <v>1703800.4421010534</v>
      </c>
      <c r="J62" s="39">
        <f t="shared" si="24"/>
        <v>1002584.9726896051</v>
      </c>
      <c r="K62" s="39">
        <f t="shared" si="24"/>
        <v>741558.66818730021</v>
      </c>
      <c r="L62" s="39">
        <f t="shared" si="24"/>
        <v>4177.8242390338455</v>
      </c>
      <c r="M62" s="39">
        <f t="shared" si="24"/>
        <v>91355.22324001792</v>
      </c>
      <c r="N62" s="39">
        <f t="shared" si="24"/>
        <v>94751.116152939037</v>
      </c>
      <c r="O62" s="39">
        <f t="shared" si="24"/>
        <v>259499.6419548649</v>
      </c>
      <c r="P62" s="39">
        <f t="shared" si="24"/>
        <v>149106.28030161856</v>
      </c>
      <c r="Q62" s="39">
        <f t="shared" si="24"/>
        <v>218148.44143348269</v>
      </c>
      <c r="R62" s="39">
        <f t="shared" si="24"/>
        <v>4303.3349585483274</v>
      </c>
      <c r="T62" s="97">
        <f t="shared" si="25"/>
        <v>0</v>
      </c>
    </row>
    <row r="63" spans="1:20" x14ac:dyDescent="0.25">
      <c r="A63" s="22">
        <v>393</v>
      </c>
      <c r="B63" s="16" t="s">
        <v>226</v>
      </c>
      <c r="C63" s="134" t="str">
        <f>INDEX('Alloc Amt'!B:B,MATCH('Rate Base'!D:D,'Alloc Amt'!D:D,0))</f>
        <v>Prod Trans Dist Allocation Factor</v>
      </c>
      <c r="D63" s="21">
        <v>75</v>
      </c>
      <c r="E63" s="21"/>
      <c r="F63" s="23">
        <v>232556.7</v>
      </c>
      <c r="G63" s="39">
        <f t="shared" si="24"/>
        <v>132303.49002399863</v>
      </c>
      <c r="H63" s="39">
        <f t="shared" si="24"/>
        <v>29239.277177038501</v>
      </c>
      <c r="I63" s="39">
        <f t="shared" si="24"/>
        <v>28901.533296153371</v>
      </c>
      <c r="J63" s="39">
        <f t="shared" si="24"/>
        <v>16934.859747674633</v>
      </c>
      <c r="K63" s="39">
        <f t="shared" si="24"/>
        <v>12424.032770100537</v>
      </c>
      <c r="L63" s="39">
        <f t="shared" si="24"/>
        <v>71.017901600653403</v>
      </c>
      <c r="M63" s="39">
        <f t="shared" si="24"/>
        <v>1547.4653094709688</v>
      </c>
      <c r="N63" s="39">
        <f t="shared" si="24"/>
        <v>1605.1412349029931</v>
      </c>
      <c r="O63" s="39">
        <f t="shared" si="24"/>
        <v>4414.3784238743447</v>
      </c>
      <c r="P63" s="39">
        <f t="shared" si="24"/>
        <v>2659.9694438514493</v>
      </c>
      <c r="Q63" s="39">
        <f t="shared" si="24"/>
        <v>2382.0616309979609</v>
      </c>
      <c r="R63" s="39">
        <f t="shared" si="24"/>
        <v>73.473040335963191</v>
      </c>
      <c r="T63" s="97">
        <f t="shared" si="25"/>
        <v>0</v>
      </c>
    </row>
    <row r="64" spans="1:20" x14ac:dyDescent="0.25">
      <c r="A64" s="22">
        <v>394</v>
      </c>
      <c r="B64" s="16" t="s">
        <v>227</v>
      </c>
      <c r="C64" s="134" t="str">
        <f>INDEX('Alloc Amt'!B:B,MATCH('Rate Base'!D:D,'Alloc Amt'!D:D,0))</f>
        <v>Salary &amp; Wages - PTD Subtotal</v>
      </c>
      <c r="D64" s="21">
        <v>79</v>
      </c>
      <c r="E64" s="21"/>
      <c r="F64" s="23">
        <v>14232778.5</v>
      </c>
      <c r="G64" s="39">
        <f t="shared" si="24"/>
        <v>8126736.0802530264</v>
      </c>
      <c r="H64" s="39">
        <f t="shared" si="24"/>
        <v>1790564.6569422684</v>
      </c>
      <c r="I64" s="39">
        <f t="shared" si="24"/>
        <v>1765036.1673078144</v>
      </c>
      <c r="J64" s="39">
        <f t="shared" si="24"/>
        <v>1031330.2255341992</v>
      </c>
      <c r="K64" s="39">
        <f t="shared" si="24"/>
        <v>757750.91915884824</v>
      </c>
      <c r="L64" s="39">
        <f t="shared" si="24"/>
        <v>4379.6591853240161</v>
      </c>
      <c r="M64" s="39">
        <f t="shared" si="24"/>
        <v>95237.256990106514</v>
      </c>
      <c r="N64" s="39">
        <f t="shared" si="24"/>
        <v>96687.857991125842</v>
      </c>
      <c r="O64" s="39">
        <f t="shared" si="24"/>
        <v>267599.60641184472</v>
      </c>
      <c r="P64" s="39">
        <f t="shared" si="24"/>
        <v>144967.68888908043</v>
      </c>
      <c r="Q64" s="39">
        <f t="shared" si="24"/>
        <v>147989.65038607924</v>
      </c>
      <c r="R64" s="39">
        <f t="shared" si="24"/>
        <v>4498.7309502844319</v>
      </c>
      <c r="T64" s="97">
        <f t="shared" si="25"/>
        <v>0</v>
      </c>
    </row>
    <row r="65" spans="1:20" x14ac:dyDescent="0.25">
      <c r="A65" s="22">
        <v>395</v>
      </c>
      <c r="B65" s="16" t="s">
        <v>228</v>
      </c>
      <c r="C65" s="134" t="str">
        <f>INDEX('Alloc Amt'!B:B,MATCH('Rate Base'!D:D,'Alloc Amt'!D:D,0))</f>
        <v>Salary &amp; Wages - PTD Subtotal</v>
      </c>
      <c r="D65" s="21">
        <v>79</v>
      </c>
      <c r="E65" s="21"/>
      <c r="F65" s="23">
        <v>7820000</v>
      </c>
      <c r="G65" s="39">
        <f t="shared" si="24"/>
        <v>4465120.8579954132</v>
      </c>
      <c r="H65" s="39">
        <f t="shared" si="24"/>
        <v>983800.5711455805</v>
      </c>
      <c r="I65" s="39">
        <f t="shared" si="24"/>
        <v>969774.30150740477</v>
      </c>
      <c r="J65" s="39">
        <f t="shared" si="24"/>
        <v>566649.88945604942</v>
      </c>
      <c r="K65" s="39">
        <f t="shared" si="24"/>
        <v>416335.58674591844</v>
      </c>
      <c r="L65" s="39">
        <f t="shared" si="24"/>
        <v>2406.3421509183049</v>
      </c>
      <c r="M65" s="39">
        <f t="shared" si="24"/>
        <v>52326.77159014545</v>
      </c>
      <c r="N65" s="39">
        <f t="shared" si="24"/>
        <v>53123.783911244325</v>
      </c>
      <c r="O65" s="39">
        <f t="shared" si="24"/>
        <v>147028.84065403152</v>
      </c>
      <c r="P65" s="39">
        <f t="shared" si="24"/>
        <v>79650.458068507767</v>
      </c>
      <c r="Q65" s="39">
        <f t="shared" si="24"/>
        <v>81310.832317044755</v>
      </c>
      <c r="R65" s="39">
        <f t="shared" si="24"/>
        <v>2471.7644577426859</v>
      </c>
      <c r="T65" s="97">
        <f t="shared" si="25"/>
        <v>0</v>
      </c>
    </row>
    <row r="66" spans="1:20" x14ac:dyDescent="0.25">
      <c r="A66" s="22">
        <v>396</v>
      </c>
      <c r="B66" s="16" t="s">
        <v>229</v>
      </c>
      <c r="C66" s="134" t="str">
        <f>INDEX('Alloc Amt'!B:B,MATCH('Rate Base'!D:D,'Alloc Amt'!D:D,0))</f>
        <v>Salary &amp; Wages - PTD Subtotal</v>
      </c>
      <c r="D66" s="21">
        <v>79</v>
      </c>
      <c r="E66" s="21"/>
      <c r="F66" s="23">
        <v>5307201.3</v>
      </c>
      <c r="G66" s="39">
        <f t="shared" si="24"/>
        <v>3030344.657571659</v>
      </c>
      <c r="H66" s="39">
        <f t="shared" si="24"/>
        <v>667676.17265020043</v>
      </c>
      <c r="I66" s="39">
        <f t="shared" si="24"/>
        <v>658156.96082694246</v>
      </c>
      <c r="J66" s="39">
        <f t="shared" si="24"/>
        <v>384568.41815422021</v>
      </c>
      <c r="K66" s="39">
        <f t="shared" si="24"/>
        <v>282554.57381255768</v>
      </c>
      <c r="L66" s="39">
        <f t="shared" si="24"/>
        <v>1633.1128122248624</v>
      </c>
      <c r="M66" s="39">
        <f t="shared" si="24"/>
        <v>35512.622788749744</v>
      </c>
      <c r="N66" s="39">
        <f t="shared" si="24"/>
        <v>36053.531334357409</v>
      </c>
      <c r="O66" s="39">
        <f t="shared" si="24"/>
        <v>99784.099009791418</v>
      </c>
      <c r="P66" s="39">
        <f t="shared" si="24"/>
        <v>54056.395729767246</v>
      </c>
      <c r="Q66" s="39">
        <f t="shared" si="24"/>
        <v>55183.242324437582</v>
      </c>
      <c r="R66" s="39">
        <f t="shared" si="24"/>
        <v>1677.5129850928104</v>
      </c>
      <c r="T66" s="97">
        <f t="shared" si="25"/>
        <v>0</v>
      </c>
    </row>
    <row r="67" spans="1:20" x14ac:dyDescent="0.25">
      <c r="A67" s="22">
        <v>397</v>
      </c>
      <c r="B67" s="16" t="s">
        <v>230</v>
      </c>
      <c r="C67" s="134" t="str">
        <f>INDEX('Alloc Amt'!B:B,MATCH('Rate Base'!D:D,'Alloc Amt'!D:D,0))</f>
        <v>Salary &amp; Wages - Total</v>
      </c>
      <c r="D67" s="21">
        <v>78</v>
      </c>
      <c r="E67" s="21"/>
      <c r="F67" s="23">
        <v>146940395.59999999</v>
      </c>
      <c r="G67" s="39">
        <f t="shared" si="24"/>
        <v>88466993.658453107</v>
      </c>
      <c r="H67" s="39">
        <f t="shared" si="24"/>
        <v>17841863.165956844</v>
      </c>
      <c r="I67" s="39">
        <f t="shared" si="24"/>
        <v>16215365.898829551</v>
      </c>
      <c r="J67" s="39">
        <f t="shared" si="24"/>
        <v>9541776.0056349076</v>
      </c>
      <c r="K67" s="39">
        <f t="shared" si="24"/>
        <v>7057543.1505802004</v>
      </c>
      <c r="L67" s="39">
        <f t="shared" si="24"/>
        <v>39761.081769290293</v>
      </c>
      <c r="M67" s="39">
        <f t="shared" si="24"/>
        <v>869443.58916787221</v>
      </c>
      <c r="N67" s="39">
        <f t="shared" si="24"/>
        <v>901762.89416133356</v>
      </c>
      <c r="O67" s="39">
        <f t="shared" si="24"/>
        <v>2469703.3413868682</v>
      </c>
      <c r="P67" s="39">
        <f t="shared" si="24"/>
        <v>1419070.4692637848</v>
      </c>
      <c r="Q67" s="39">
        <f t="shared" si="24"/>
        <v>2076156.7556240298</v>
      </c>
      <c r="R67" s="39">
        <f t="shared" si="24"/>
        <v>40955.589172189531</v>
      </c>
      <c r="T67" s="97">
        <f t="shared" si="25"/>
        <v>0</v>
      </c>
    </row>
    <row r="68" spans="1:20" x14ac:dyDescent="0.25">
      <c r="A68" s="22">
        <v>398</v>
      </c>
      <c r="B68" s="16" t="s">
        <v>231</v>
      </c>
      <c r="C68" s="134" t="str">
        <f>INDEX('Alloc Amt'!B:B,MATCH('Rate Base'!D:D,'Alloc Amt'!D:D,0))</f>
        <v>Salary &amp; Wages - Total</v>
      </c>
      <c r="D68" s="21">
        <v>78</v>
      </c>
      <c r="E68" s="21"/>
      <c r="F68" s="23">
        <v>977290.20000000007</v>
      </c>
      <c r="G68" s="39">
        <f t="shared" si="24"/>
        <v>588387.73077230225</v>
      </c>
      <c r="H68" s="39">
        <f t="shared" si="24"/>
        <v>118664.97262806198</v>
      </c>
      <c r="I68" s="39">
        <f t="shared" si="24"/>
        <v>107847.25410348843</v>
      </c>
      <c r="J68" s="39">
        <f t="shared" si="24"/>
        <v>63461.678749571438</v>
      </c>
      <c r="K68" s="39">
        <f t="shared" si="24"/>
        <v>46939.221369151906</v>
      </c>
      <c r="L68" s="39">
        <f t="shared" si="24"/>
        <v>264.44814848808034</v>
      </c>
      <c r="M68" s="39">
        <f t="shared" si="24"/>
        <v>5782.6079457389715</v>
      </c>
      <c r="N68" s="39">
        <f t="shared" si="24"/>
        <v>5997.5613621357952</v>
      </c>
      <c r="O68" s="39">
        <f t="shared" si="24"/>
        <v>16425.822610515967</v>
      </c>
      <c r="P68" s="39">
        <f t="shared" si="24"/>
        <v>9438.1375322831809</v>
      </c>
      <c r="Q68" s="39">
        <f t="shared" si="24"/>
        <v>13808.372045346252</v>
      </c>
      <c r="R68" s="39">
        <f t="shared" si="24"/>
        <v>272.39273291576018</v>
      </c>
      <c r="T68" s="97">
        <f t="shared" si="25"/>
        <v>0</v>
      </c>
    </row>
    <row r="69" spans="1:20" x14ac:dyDescent="0.25">
      <c r="A69" s="22">
        <v>399</v>
      </c>
      <c r="B69" s="16" t="s">
        <v>232</v>
      </c>
      <c r="C69" s="134" t="str">
        <f>INDEX('Alloc Amt'!B:B,MATCH('Rate Base'!D:D,'Alloc Amt'!D:D,0))</f>
        <v>Salary &amp; Wages - Total</v>
      </c>
      <c r="D69" s="21">
        <v>78</v>
      </c>
      <c r="E69" s="21"/>
      <c r="F69" s="23">
        <v>1250391.3638000034</v>
      </c>
      <c r="G69" s="39">
        <f t="shared" si="24"/>
        <v>752811.12726145028</v>
      </c>
      <c r="H69" s="39">
        <f t="shared" si="24"/>
        <v>151825.5856445634</v>
      </c>
      <c r="I69" s="39">
        <f t="shared" si="24"/>
        <v>137984.88426523301</v>
      </c>
      <c r="J69" s="39">
        <f t="shared" si="24"/>
        <v>81195.877172117689</v>
      </c>
      <c r="K69" s="39">
        <f t="shared" si="24"/>
        <v>60056.262739035054</v>
      </c>
      <c r="L69" s="39">
        <f t="shared" si="24"/>
        <v>338.34748475160865</v>
      </c>
      <c r="M69" s="39">
        <f t="shared" si="24"/>
        <v>7398.542455038727</v>
      </c>
      <c r="N69" s="39">
        <f t="shared" si="24"/>
        <v>7673.5640356111035</v>
      </c>
      <c r="O69" s="39">
        <f t="shared" si="24"/>
        <v>21015.975332096841</v>
      </c>
      <c r="P69" s="39">
        <f t="shared" si="24"/>
        <v>12075.600124429329</v>
      </c>
      <c r="Q69" s="39">
        <f t="shared" si="24"/>
        <v>17667.085123373119</v>
      </c>
      <c r="R69" s="39">
        <f t="shared" si="24"/>
        <v>348.51216230322115</v>
      </c>
      <c r="T69" s="97">
        <f t="shared" si="25"/>
        <v>0</v>
      </c>
    </row>
    <row r="70" spans="1:20" x14ac:dyDescent="0.25">
      <c r="A70" s="25"/>
      <c r="B70" s="24" t="s">
        <v>188</v>
      </c>
      <c r="C70" s="135"/>
      <c r="D70" s="26"/>
      <c r="E70" s="26"/>
      <c r="F70" s="27">
        <f>SUM(F59:F69)</f>
        <v>540077856.36380005</v>
      </c>
      <c r="G70" s="40">
        <f t="shared" ref="G70:R70" si="26">SUM(G59:G69)</f>
        <v>324301622.82914978</v>
      </c>
      <c r="H70" s="40">
        <f t="shared" si="26"/>
        <v>65698504.94960165</v>
      </c>
      <c r="I70" s="40">
        <f t="shared" si="26"/>
        <v>59976344.302667275</v>
      </c>
      <c r="J70" s="40">
        <f t="shared" si="26"/>
        <v>35278420.123320669</v>
      </c>
      <c r="K70" s="40">
        <f t="shared" si="26"/>
        <v>26083720.900018636</v>
      </c>
      <c r="L70" s="40">
        <f t="shared" si="26"/>
        <v>147165.20928434638</v>
      </c>
      <c r="M70" s="40">
        <f t="shared" si="26"/>
        <v>3216990.2272963701</v>
      </c>
      <c r="N70" s="40">
        <f t="shared" si="26"/>
        <v>3332556.7515165643</v>
      </c>
      <c r="O70" s="40">
        <f t="shared" si="26"/>
        <v>9132433.1538225338</v>
      </c>
      <c r="P70" s="40">
        <f t="shared" si="26"/>
        <v>5230639.1630431684</v>
      </c>
      <c r="Q70" s="40">
        <f t="shared" si="26"/>
        <v>7527896.1013569245</v>
      </c>
      <c r="R70" s="40">
        <f t="shared" si="26"/>
        <v>151562.65272209459</v>
      </c>
      <c r="T70" s="97">
        <f t="shared" si="25"/>
        <v>0</v>
      </c>
    </row>
    <row r="71" spans="1:20" x14ac:dyDescent="0.25">
      <c r="A71" s="22"/>
      <c r="B71" s="16"/>
      <c r="C71" s="134"/>
      <c r="D71" s="21"/>
      <c r="E71" s="21"/>
      <c r="F71" s="23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T71" s="97">
        <f t="shared" si="25"/>
        <v>0</v>
      </c>
    </row>
    <row r="72" spans="1:20" x14ac:dyDescent="0.25">
      <c r="A72" s="25"/>
      <c r="B72" s="24" t="s">
        <v>233</v>
      </c>
      <c r="C72" s="135"/>
      <c r="D72" s="26"/>
      <c r="E72" s="26"/>
      <c r="F72" s="27">
        <f t="shared" ref="F72:R72" si="27">F16+F21+F32+F56+F70</f>
        <v>10754417110.815201</v>
      </c>
      <c r="G72" s="40">
        <f t="shared" si="27"/>
        <v>6145016814.5199232</v>
      </c>
      <c r="H72" s="40">
        <f t="shared" si="27"/>
        <v>1348996526.1802979</v>
      </c>
      <c r="I72" s="40">
        <f t="shared" si="27"/>
        <v>1325839652.8774016</v>
      </c>
      <c r="J72" s="40">
        <f t="shared" si="27"/>
        <v>777245147.16575468</v>
      </c>
      <c r="K72" s="40">
        <f t="shared" si="27"/>
        <v>570470020.94245446</v>
      </c>
      <c r="L72" s="40">
        <f t="shared" si="27"/>
        <v>3256672.1528040897</v>
      </c>
      <c r="M72" s="40">
        <f t="shared" si="27"/>
        <v>70961462.00032407</v>
      </c>
      <c r="N72" s="40">
        <f t="shared" si="27"/>
        <v>73322258.043402135</v>
      </c>
      <c r="O72" s="40">
        <f t="shared" si="27"/>
        <v>202554572.78671095</v>
      </c>
      <c r="P72" s="40">
        <f t="shared" si="27"/>
        <v>120156503.04788588</v>
      </c>
      <c r="Q72" s="40">
        <f t="shared" si="27"/>
        <v>113229199.63347158</v>
      </c>
      <c r="R72" s="40">
        <f t="shared" si="27"/>
        <v>3368281.4647714109</v>
      </c>
      <c r="T72" s="97">
        <f t="shared" si="25"/>
        <v>0</v>
      </c>
    </row>
    <row r="73" spans="1:20" x14ac:dyDescent="0.25">
      <c r="A73" s="22"/>
      <c r="B73" s="16"/>
      <c r="C73" s="134"/>
      <c r="D73" s="21"/>
      <c r="E73" s="21"/>
      <c r="F73" s="23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20" x14ac:dyDescent="0.25">
      <c r="A74" s="22"/>
      <c r="B74" s="20" t="s">
        <v>234</v>
      </c>
      <c r="C74" s="134"/>
      <c r="D74" s="21"/>
      <c r="E74" s="21"/>
      <c r="F74" s="23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20" x14ac:dyDescent="0.25">
      <c r="A75" s="22"/>
      <c r="B75" s="20" t="s">
        <v>184</v>
      </c>
      <c r="C75" s="134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1:20" x14ac:dyDescent="0.25">
      <c r="A76" s="22">
        <v>111</v>
      </c>
      <c r="B76" s="16" t="s">
        <v>235</v>
      </c>
      <c r="C76" s="134" t="str">
        <f>INDEX('Alloc Amt'!B:B,MATCH('Rate Base'!D:D,'Alloc Amt'!D:D,0))</f>
        <v>Total Production Plant</v>
      </c>
      <c r="D76" s="21">
        <v>73</v>
      </c>
      <c r="E76" s="21"/>
      <c r="F76" s="23">
        <v>-11848339.393578827</v>
      </c>
      <c r="G76" s="39">
        <f t="shared" ref="G76:R78" si="28">INDEX(Alloc,($D76),(G$1))*$F76</f>
        <v>-6032850.0561935138</v>
      </c>
      <c r="H76" s="39">
        <f t="shared" si="28"/>
        <v>-1589143.9725050307</v>
      </c>
      <c r="I76" s="39">
        <f t="shared" si="28"/>
        <v>-1772581.6667351895</v>
      </c>
      <c r="J76" s="39">
        <f t="shared" si="28"/>
        <v>-1174385.7595826869</v>
      </c>
      <c r="K76" s="39">
        <f t="shared" si="28"/>
        <v>-808220.36112474161</v>
      </c>
      <c r="L76" s="39">
        <f t="shared" si="28"/>
        <v>-2946.7826087451031</v>
      </c>
      <c r="M76" s="39">
        <f t="shared" si="28"/>
        <v>-61927.500819699089</v>
      </c>
      <c r="N76" s="39">
        <f t="shared" si="28"/>
        <v>0</v>
      </c>
      <c r="O76" s="39">
        <f t="shared" si="28"/>
        <v>-357407.96363241534</v>
      </c>
      <c r="P76" s="39">
        <f t="shared" si="28"/>
        <v>0</v>
      </c>
      <c r="Q76" s="39">
        <f t="shared" si="28"/>
        <v>-44996.345229221843</v>
      </c>
      <c r="R76" s="39">
        <f t="shared" si="28"/>
        <v>-3878.9851475820246</v>
      </c>
      <c r="T76" s="97">
        <f t="shared" ref="T76:T79" si="29">F76-SUM(G76:R76)</f>
        <v>0</v>
      </c>
    </row>
    <row r="77" spans="1:20" x14ac:dyDescent="0.25">
      <c r="A77" s="22">
        <v>111.01</v>
      </c>
      <c r="B77" s="16" t="s">
        <v>236</v>
      </c>
      <c r="C77" s="134" t="str">
        <f>INDEX('Alloc Amt'!B:B,MATCH('Rate Base'!D:D,'Alloc Amt'!D:D,0))</f>
        <v>Total Distribution Plant</v>
      </c>
      <c r="D77" s="21">
        <v>68</v>
      </c>
      <c r="E77" s="21"/>
      <c r="F77" s="23">
        <v>-15836820.280835493</v>
      </c>
      <c r="G77" s="39">
        <f t="shared" si="28"/>
        <v>-10530098.920585956</v>
      </c>
      <c r="H77" s="39">
        <f t="shared" si="28"/>
        <v>-1877256.2123941337</v>
      </c>
      <c r="I77" s="39">
        <f t="shared" si="28"/>
        <v>-1490429.1841956305</v>
      </c>
      <c r="J77" s="39">
        <f t="shared" si="28"/>
        <v>-634671.0593212645</v>
      </c>
      <c r="K77" s="39">
        <f t="shared" si="28"/>
        <v>-559267.81125244696</v>
      </c>
      <c r="L77" s="39">
        <f t="shared" si="28"/>
        <v>-6377.6066578994587</v>
      </c>
      <c r="M77" s="39">
        <f t="shared" si="28"/>
        <v>-138348.61667286829</v>
      </c>
      <c r="N77" s="39">
        <f t="shared" si="28"/>
        <v>-190417.81488489572</v>
      </c>
      <c r="O77" s="39">
        <f t="shared" si="28"/>
        <v>-72568.842170510252</v>
      </c>
      <c r="P77" s="39">
        <f t="shared" si="28"/>
        <v>-25072.850007089448</v>
      </c>
      <c r="Q77" s="39">
        <f t="shared" si="28"/>
        <v>-307451.75267736841</v>
      </c>
      <c r="R77" s="39">
        <f t="shared" si="28"/>
        <v>-4859.6100154269279</v>
      </c>
      <c r="T77" s="97">
        <f t="shared" si="29"/>
        <v>0</v>
      </c>
    </row>
    <row r="78" spans="1:20" x14ac:dyDescent="0.25">
      <c r="A78" s="22">
        <v>111.02</v>
      </c>
      <c r="B78" s="16" t="s">
        <v>237</v>
      </c>
      <c r="C78" s="134" t="str">
        <f>INDEX('Alloc Amt'!B:B,MATCH('Rate Base'!D:D,'Alloc Amt'!D:D,0))</f>
        <v>Total General Plant</v>
      </c>
      <c r="D78" s="21">
        <v>70</v>
      </c>
      <c r="E78" s="21"/>
      <c r="F78" s="23">
        <v>-157655053.77670544</v>
      </c>
      <c r="G78" s="39">
        <f t="shared" si="28"/>
        <v>-94667443.192787439</v>
      </c>
      <c r="H78" s="39">
        <f t="shared" si="28"/>
        <v>-19178163.312627245</v>
      </c>
      <c r="I78" s="39">
        <f t="shared" si="28"/>
        <v>-17507797.579462085</v>
      </c>
      <c r="J78" s="39">
        <f t="shared" si="28"/>
        <v>-10298184.152828602</v>
      </c>
      <c r="K78" s="39">
        <f t="shared" si="28"/>
        <v>-7614143.7252687281</v>
      </c>
      <c r="L78" s="39">
        <f t="shared" si="28"/>
        <v>-42959.248764598793</v>
      </c>
      <c r="M78" s="39">
        <f t="shared" si="28"/>
        <v>-939077.13731908461</v>
      </c>
      <c r="N78" s="39">
        <f t="shared" si="28"/>
        <v>-972812.35970607458</v>
      </c>
      <c r="O78" s="39">
        <f t="shared" si="28"/>
        <v>-2665864.2323750779</v>
      </c>
      <c r="P78" s="39">
        <f t="shared" si="28"/>
        <v>-1526884.8533953435</v>
      </c>
      <c r="Q78" s="39">
        <f t="shared" si="28"/>
        <v>-2197481.0681470218</v>
      </c>
      <c r="R78" s="39">
        <f t="shared" si="28"/>
        <v>-44242.914024133548</v>
      </c>
      <c r="T78" s="97">
        <f t="shared" si="29"/>
        <v>0</v>
      </c>
    </row>
    <row r="79" spans="1:20" x14ac:dyDescent="0.25">
      <c r="A79" s="25"/>
      <c r="B79" s="24" t="s">
        <v>188</v>
      </c>
      <c r="C79" s="135"/>
      <c r="D79" s="26"/>
      <c r="E79" s="26"/>
      <c r="F79" s="27">
        <f>SUM(F76:F78)</f>
        <v>-185340213.45111978</v>
      </c>
      <c r="G79" s="40">
        <f t="shared" ref="G79:R79" si="30">SUM(G76:G78)</f>
        <v>-111230392.16956691</v>
      </c>
      <c r="H79" s="40">
        <f t="shared" si="30"/>
        <v>-22644563.497526407</v>
      </c>
      <c r="I79" s="40">
        <f t="shared" si="30"/>
        <v>-20770808.430392906</v>
      </c>
      <c r="J79" s="40">
        <f t="shared" si="30"/>
        <v>-12107240.971732553</v>
      </c>
      <c r="K79" s="40">
        <f t="shared" si="30"/>
        <v>-8981631.8976459168</v>
      </c>
      <c r="L79" s="40">
        <f t="shared" si="30"/>
        <v>-52283.638031243354</v>
      </c>
      <c r="M79" s="40">
        <f t="shared" si="30"/>
        <v>-1139353.254811652</v>
      </c>
      <c r="N79" s="40">
        <f t="shared" si="30"/>
        <v>-1163230.1745909704</v>
      </c>
      <c r="O79" s="40">
        <f t="shared" si="30"/>
        <v>-3095841.0381780034</v>
      </c>
      <c r="P79" s="40">
        <f t="shared" si="30"/>
        <v>-1551957.7034024331</v>
      </c>
      <c r="Q79" s="40">
        <f t="shared" si="30"/>
        <v>-2549929.1660536123</v>
      </c>
      <c r="R79" s="40">
        <f t="shared" si="30"/>
        <v>-52981.509187142503</v>
      </c>
      <c r="T79" s="97">
        <f t="shared" si="29"/>
        <v>0</v>
      </c>
    </row>
    <row r="80" spans="1:20" x14ac:dyDescent="0.25">
      <c r="A80" s="22"/>
      <c r="B80" s="16"/>
      <c r="C80" s="134"/>
      <c r="D80" s="21"/>
      <c r="E80" s="21"/>
      <c r="F80" s="23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20" x14ac:dyDescent="0.25">
      <c r="A81" s="22"/>
      <c r="B81" s="20" t="s">
        <v>189</v>
      </c>
      <c r="C81" s="134"/>
      <c r="D81" s="21"/>
      <c r="E81" s="21"/>
      <c r="F81" s="23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20" x14ac:dyDescent="0.25">
      <c r="A82" s="22">
        <v>108.01</v>
      </c>
      <c r="B82" s="16" t="s">
        <v>238</v>
      </c>
      <c r="C82" s="134" t="str">
        <f>INDEX('Alloc Amt'!B:B,MATCH('Rate Base'!D:D,'Alloc Amt'!D:D,0))</f>
        <v>Prob. Of Dispatch - Gen. Accum. Depr. - TY Loads</v>
      </c>
      <c r="D82" s="21">
        <v>89</v>
      </c>
      <c r="E82" s="21"/>
      <c r="F82" s="23">
        <v>-945433620.17765331</v>
      </c>
      <c r="G82" s="39">
        <f t="shared" ref="G82:R84" si="31">INDEX(Alloc,($D82),(G$1))*$F82</f>
        <v>-479006413.77096647</v>
      </c>
      <c r="H82" s="39">
        <f t="shared" si="31"/>
        <v>-127202338.10279441</v>
      </c>
      <c r="I82" s="39">
        <f t="shared" si="31"/>
        <v>-142331821.47550803</v>
      </c>
      <c r="J82" s="39">
        <f t="shared" si="31"/>
        <v>-94694108.661164716</v>
      </c>
      <c r="K82" s="39">
        <f t="shared" si="31"/>
        <v>-64683200.514081739</v>
      </c>
      <c r="L82" s="39">
        <f t="shared" si="31"/>
        <v>-251151.46744747131</v>
      </c>
      <c r="M82" s="39">
        <f t="shared" si="31"/>
        <v>-4837227.1368691921</v>
      </c>
      <c r="N82" s="39">
        <f t="shared" si="31"/>
        <v>0</v>
      </c>
      <c r="O82" s="39">
        <f t="shared" si="31"/>
        <v>-28599504.402036056</v>
      </c>
      <c r="P82" s="39">
        <f t="shared" si="31"/>
        <v>0</v>
      </c>
      <c r="Q82" s="39">
        <f t="shared" si="31"/>
        <v>-3530088.5391671429</v>
      </c>
      <c r="R82" s="39">
        <f t="shared" si="31"/>
        <v>-297766.10761811625</v>
      </c>
      <c r="T82" s="97">
        <f t="shared" ref="T82:T85" si="32">F82-SUM(G82:R82)</f>
        <v>0</v>
      </c>
    </row>
    <row r="83" spans="1:20" x14ac:dyDescent="0.25">
      <c r="A83" s="22">
        <v>108.02</v>
      </c>
      <c r="B83" s="16" t="s">
        <v>239</v>
      </c>
      <c r="C83" s="134" t="str">
        <f>INDEX('Alloc Amt'!B:B,MATCH('Rate Base'!D:D,'Alloc Amt'!D:D,0))</f>
        <v>Prob. Of Dispatch - Gen. Accum. Depr. - TY Loads</v>
      </c>
      <c r="D83" s="21">
        <v>89</v>
      </c>
      <c r="E83" s="21"/>
      <c r="F83" s="23">
        <v>-183522621.94999999</v>
      </c>
      <c r="G83" s="39">
        <f t="shared" si="31"/>
        <v>-92982215.895385385</v>
      </c>
      <c r="H83" s="39">
        <f t="shared" si="31"/>
        <v>-24691851.557392921</v>
      </c>
      <c r="I83" s="39">
        <f t="shared" si="31"/>
        <v>-27628707.617988262</v>
      </c>
      <c r="J83" s="39">
        <f t="shared" si="31"/>
        <v>-18381524.343771078</v>
      </c>
      <c r="K83" s="39">
        <f t="shared" si="31"/>
        <v>-12555964.058302961</v>
      </c>
      <c r="L83" s="39">
        <f t="shared" si="31"/>
        <v>-48752.207271716252</v>
      </c>
      <c r="M83" s="39">
        <f t="shared" si="31"/>
        <v>-938977.19330005755</v>
      </c>
      <c r="N83" s="39">
        <f t="shared" si="31"/>
        <v>0</v>
      </c>
      <c r="O83" s="39">
        <f t="shared" si="31"/>
        <v>-5551585.9837372461</v>
      </c>
      <c r="P83" s="39">
        <f t="shared" si="31"/>
        <v>0</v>
      </c>
      <c r="Q83" s="39">
        <f t="shared" si="31"/>
        <v>-685242.2958069375</v>
      </c>
      <c r="R83" s="39">
        <f t="shared" si="31"/>
        <v>-57800.797043428662</v>
      </c>
      <c r="T83" s="97">
        <f t="shared" si="32"/>
        <v>0</v>
      </c>
    </row>
    <row r="84" spans="1:20" x14ac:dyDescent="0.25">
      <c r="A84" s="22">
        <v>108.03</v>
      </c>
      <c r="B84" s="16" t="s">
        <v>240</v>
      </c>
      <c r="C84" s="134" t="str">
        <f>INDEX('Alloc Amt'!B:B,MATCH('Rate Base'!D:D,'Alloc Amt'!D:D,0))</f>
        <v>Prob. Of Dispatch - Gen. Accum. Depr. - TY Loads</v>
      </c>
      <c r="D84" s="21">
        <v>89</v>
      </c>
      <c r="E84" s="21"/>
      <c r="F84" s="23">
        <v>-789161667.84000003</v>
      </c>
      <c r="G84" s="39">
        <f t="shared" si="31"/>
        <v>-399830820.83173835</v>
      </c>
      <c r="H84" s="39">
        <f t="shared" si="31"/>
        <v>-106176898.24853715</v>
      </c>
      <c r="I84" s="39">
        <f t="shared" si="31"/>
        <v>-118805609.64312953</v>
      </c>
      <c r="J84" s="39">
        <f t="shared" si="31"/>
        <v>-79041996.318710208</v>
      </c>
      <c r="K84" s="39">
        <f t="shared" si="31"/>
        <v>-53991630.199622162</v>
      </c>
      <c r="L84" s="39">
        <f t="shared" si="31"/>
        <v>-209638.31484442769</v>
      </c>
      <c r="M84" s="39">
        <f t="shared" si="31"/>
        <v>-4037675.5740242167</v>
      </c>
      <c r="N84" s="39">
        <f t="shared" si="31"/>
        <v>0</v>
      </c>
      <c r="O84" s="39">
        <f t="shared" si="31"/>
        <v>-23872255.134175587</v>
      </c>
      <c r="P84" s="39">
        <f t="shared" si="31"/>
        <v>0</v>
      </c>
      <c r="Q84" s="39">
        <f t="shared" si="31"/>
        <v>-2946595.6146858195</v>
      </c>
      <c r="R84" s="39">
        <f t="shared" si="31"/>
        <v>-248547.96053263074</v>
      </c>
      <c r="T84" s="97">
        <f t="shared" si="32"/>
        <v>0</v>
      </c>
    </row>
    <row r="85" spans="1:20" x14ac:dyDescent="0.25">
      <c r="A85" s="25"/>
      <c r="B85" s="24" t="s">
        <v>188</v>
      </c>
      <c r="C85" s="135"/>
      <c r="D85" s="26"/>
      <c r="E85" s="26"/>
      <c r="F85" s="27">
        <f>SUM(F82:F84)</f>
        <v>-1918117909.9676533</v>
      </c>
      <c r="G85" s="40">
        <f t="shared" ref="G85:R85" si="33">SUM(G82:G84)</f>
        <v>-971819450.49809015</v>
      </c>
      <c r="H85" s="40">
        <f t="shared" si="33"/>
        <v>-258071087.90872449</v>
      </c>
      <c r="I85" s="40">
        <f t="shared" si="33"/>
        <v>-288766138.73662579</v>
      </c>
      <c r="J85" s="40">
        <f t="shared" si="33"/>
        <v>-192117629.32364601</v>
      </c>
      <c r="K85" s="40">
        <f t="shared" si="33"/>
        <v>-131230794.77200687</v>
      </c>
      <c r="L85" s="40">
        <f t="shared" si="33"/>
        <v>-509541.98956361524</v>
      </c>
      <c r="M85" s="40">
        <f t="shared" si="33"/>
        <v>-9813879.9041934665</v>
      </c>
      <c r="N85" s="40">
        <f t="shared" si="33"/>
        <v>0</v>
      </c>
      <c r="O85" s="40">
        <f t="shared" si="33"/>
        <v>-58023345.519948885</v>
      </c>
      <c r="P85" s="40">
        <f t="shared" si="33"/>
        <v>0</v>
      </c>
      <c r="Q85" s="40">
        <f t="shared" si="33"/>
        <v>-7161926.4496598998</v>
      </c>
      <c r="R85" s="40">
        <f t="shared" si="33"/>
        <v>-604114.86519417563</v>
      </c>
      <c r="T85" s="97">
        <f t="shared" si="32"/>
        <v>0</v>
      </c>
    </row>
    <row r="86" spans="1:20" x14ac:dyDescent="0.25">
      <c r="A86" s="22"/>
      <c r="B86" s="16"/>
      <c r="C86" s="134"/>
      <c r="D86" s="21"/>
      <c r="E86" s="21"/>
      <c r="F86" s="23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20" x14ac:dyDescent="0.25">
      <c r="A87" s="22"/>
      <c r="B87" s="20" t="s">
        <v>241</v>
      </c>
      <c r="C87" s="134"/>
      <c r="D87" s="21"/>
      <c r="E87" s="21"/>
      <c r="F87" s="23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20" s="71" customFormat="1" x14ac:dyDescent="0.25">
      <c r="A88" s="22" t="s">
        <v>242</v>
      </c>
      <c r="B88" s="16" t="s">
        <v>243</v>
      </c>
      <c r="C88" s="134" t="str">
        <f>INDEX('Alloc Amt'!B:B,MATCH('Rate Base'!D:D,'Alloc Amt'!D:D,0))</f>
        <v>Hourly Trans. Accum. Depr.  - TY Loads</v>
      </c>
      <c r="D88" s="21">
        <v>93</v>
      </c>
      <c r="E88" s="38"/>
      <c r="F88" s="23">
        <v>-348915488.81225431</v>
      </c>
      <c r="G88" s="65">
        <f t="shared" ref="G88:R91" si="34">INDEX(Alloc,($D88),(G$1))*$F88</f>
        <v>-162833668.76122037</v>
      </c>
      <c r="H88" s="65">
        <f t="shared" si="34"/>
        <v>-41608299.035465553</v>
      </c>
      <c r="I88" s="65">
        <f t="shared" si="34"/>
        <v>-46316376.289533764</v>
      </c>
      <c r="J88" s="65">
        <f t="shared" si="34"/>
        <v>-30119153.195596993</v>
      </c>
      <c r="K88" s="65">
        <f t="shared" si="34"/>
        <v>-20936060.139084052</v>
      </c>
      <c r="L88" s="65">
        <f t="shared" si="34"/>
        <v>-65445.452662045667</v>
      </c>
      <c r="M88" s="65">
        <f t="shared" si="34"/>
        <v>-1714664.9515388056</v>
      </c>
      <c r="N88" s="65">
        <f t="shared" si="34"/>
        <v>-5197695.2224685112</v>
      </c>
      <c r="O88" s="65">
        <f t="shared" si="34"/>
        <v>-9175144.0212428253</v>
      </c>
      <c r="P88" s="65">
        <f t="shared" si="34"/>
        <v>-29747176.475817516</v>
      </c>
      <c r="Q88" s="65">
        <f t="shared" si="34"/>
        <v>-1095483.2733810223</v>
      </c>
      <c r="R88" s="65">
        <f t="shared" si="34"/>
        <v>-106321.99424290926</v>
      </c>
      <c r="T88" s="97">
        <f t="shared" ref="T88:T91" si="35">F88-SUM(G88:R88)</f>
        <v>0</v>
      </c>
    </row>
    <row r="89" spans="1:20" x14ac:dyDescent="0.25">
      <c r="A89" s="22" t="s">
        <v>244</v>
      </c>
      <c r="B89" s="16" t="s">
        <v>245</v>
      </c>
      <c r="C89" s="134" t="str">
        <f>INDEX('Alloc Amt'!B:B,MATCH('Rate Base'!D:D,'Alloc Amt'!D:D,0))</f>
        <v>Prob. Of Dispatch - Gen. Accum. Depr. - TY Loads</v>
      </c>
      <c r="D89" s="21">
        <v>89</v>
      </c>
      <c r="E89" s="21"/>
      <c r="F89" s="23">
        <v>-54709537.547322765</v>
      </c>
      <c r="G89" s="39">
        <f t="shared" si="34"/>
        <v>-27718730.136428606</v>
      </c>
      <c r="H89" s="39">
        <f t="shared" si="34"/>
        <v>-7360835.2231375044</v>
      </c>
      <c r="I89" s="39">
        <f t="shared" si="34"/>
        <v>-8236335.121793041</v>
      </c>
      <c r="J89" s="39">
        <f t="shared" si="34"/>
        <v>-5479677.0315136136</v>
      </c>
      <c r="K89" s="39">
        <f t="shared" si="34"/>
        <v>-3743031.675286944</v>
      </c>
      <c r="L89" s="39">
        <f t="shared" si="34"/>
        <v>-14533.41656688783</v>
      </c>
      <c r="M89" s="39">
        <f t="shared" si="34"/>
        <v>-279916.48913410289</v>
      </c>
      <c r="N89" s="39">
        <f t="shared" si="34"/>
        <v>0</v>
      </c>
      <c r="O89" s="39">
        <f t="shared" si="34"/>
        <v>-1654971.4612687491</v>
      </c>
      <c r="P89" s="39">
        <f t="shared" si="34"/>
        <v>0</v>
      </c>
      <c r="Q89" s="39">
        <f t="shared" si="34"/>
        <v>-204276.1198217684</v>
      </c>
      <c r="R89" s="39">
        <f t="shared" si="34"/>
        <v>-17230.872371549853</v>
      </c>
      <c r="T89" s="97">
        <f t="shared" si="35"/>
        <v>0</v>
      </c>
    </row>
    <row r="90" spans="1:20" x14ac:dyDescent="0.25">
      <c r="A90" s="22" t="s">
        <v>246</v>
      </c>
      <c r="B90" s="16" t="s">
        <v>247</v>
      </c>
      <c r="C90" s="134" t="str">
        <f>INDEX('Alloc Amt'!B:B,MATCH('Rate Base'!D:D,'Alloc Amt'!D:D,0))</f>
        <v>Schedule 449 / 459 Retail Revenue</v>
      </c>
      <c r="D90" s="21">
        <v>6</v>
      </c>
      <c r="E90" s="21"/>
      <c r="F90" s="23">
        <v>-290302.21785940375</v>
      </c>
      <c r="G90" s="39">
        <f t="shared" si="34"/>
        <v>0</v>
      </c>
      <c r="H90" s="39">
        <f t="shared" si="34"/>
        <v>0</v>
      </c>
      <c r="I90" s="39">
        <f t="shared" si="34"/>
        <v>0</v>
      </c>
      <c r="J90" s="39">
        <f t="shared" si="34"/>
        <v>0</v>
      </c>
      <c r="K90" s="39">
        <f t="shared" si="34"/>
        <v>0</v>
      </c>
      <c r="L90" s="39">
        <f t="shared" si="34"/>
        <v>0</v>
      </c>
      <c r="M90" s="39">
        <f t="shared" si="34"/>
        <v>0</v>
      </c>
      <c r="N90" s="39">
        <f t="shared" si="34"/>
        <v>0</v>
      </c>
      <c r="O90" s="39">
        <f t="shared" si="34"/>
        <v>0</v>
      </c>
      <c r="P90" s="39">
        <f t="shared" si="34"/>
        <v>-290302.21785940375</v>
      </c>
      <c r="Q90" s="39">
        <f t="shared" si="34"/>
        <v>0</v>
      </c>
      <c r="R90" s="39">
        <f t="shared" si="34"/>
        <v>0</v>
      </c>
      <c r="T90" s="97">
        <f t="shared" si="35"/>
        <v>0</v>
      </c>
    </row>
    <row r="91" spans="1:20" x14ac:dyDescent="0.25">
      <c r="A91" s="22" t="s">
        <v>248</v>
      </c>
      <c r="B91" s="16" t="s">
        <v>249</v>
      </c>
      <c r="C91" s="134" t="str">
        <f>INDEX('Alloc Amt'!B:B,MATCH('Rate Base'!D:D,'Alloc Amt'!D:D,0))</f>
        <v>Prob. Of Dispatch - Gen. Accum. Depr. - TY Loads</v>
      </c>
      <c r="D91" s="21">
        <v>89</v>
      </c>
      <c r="E91" s="21"/>
      <c r="F91" s="23">
        <v>-115786862.48999999</v>
      </c>
      <c r="G91" s="39">
        <f t="shared" si="34"/>
        <v>-58663716.39365346</v>
      </c>
      <c r="H91" s="39">
        <f t="shared" si="34"/>
        <v>-15578417.475303221</v>
      </c>
      <c r="I91" s="39">
        <f t="shared" si="34"/>
        <v>-17431319.015330918</v>
      </c>
      <c r="J91" s="39">
        <f t="shared" si="34"/>
        <v>-11597148.127758695</v>
      </c>
      <c r="K91" s="39">
        <f t="shared" si="34"/>
        <v>-7921724.6811360046</v>
      </c>
      <c r="L91" s="39">
        <f t="shared" si="34"/>
        <v>-30758.415826208653</v>
      </c>
      <c r="M91" s="39">
        <f t="shared" si="34"/>
        <v>-592413.19684011803</v>
      </c>
      <c r="N91" s="39">
        <f t="shared" si="34"/>
        <v>0</v>
      </c>
      <c r="O91" s="39">
        <f t="shared" si="34"/>
        <v>-3502569.4166222429</v>
      </c>
      <c r="P91" s="39">
        <f t="shared" si="34"/>
        <v>0</v>
      </c>
      <c r="Q91" s="39">
        <f t="shared" si="34"/>
        <v>-432328.4760967844</v>
      </c>
      <c r="R91" s="39">
        <f t="shared" si="34"/>
        <v>-36467.291432351252</v>
      </c>
      <c r="T91" s="97">
        <f t="shared" si="35"/>
        <v>0</v>
      </c>
    </row>
    <row r="92" spans="1:20" x14ac:dyDescent="0.25">
      <c r="A92" s="25"/>
      <c r="B92" s="24" t="s">
        <v>188</v>
      </c>
      <c r="C92" s="135"/>
      <c r="D92" s="26"/>
      <c r="E92" s="26"/>
      <c r="F92" s="27">
        <f t="shared" ref="F92:R92" si="36">SUM(F88:F91)</f>
        <v>-519702191.06743646</v>
      </c>
      <c r="G92" s="40">
        <f t="shared" si="36"/>
        <v>-249216115.29130241</v>
      </c>
      <c r="H92" s="40">
        <f t="shared" si="36"/>
        <v>-64547551.733906284</v>
      </c>
      <c r="I92" s="40">
        <f t="shared" si="36"/>
        <v>-71984030.426657721</v>
      </c>
      <c r="J92" s="40">
        <f t="shared" si="36"/>
        <v>-47195978.354869306</v>
      </c>
      <c r="K92" s="40">
        <f t="shared" si="36"/>
        <v>-32600816.495507002</v>
      </c>
      <c r="L92" s="40">
        <f t="shared" si="36"/>
        <v>-110737.28505514216</v>
      </c>
      <c r="M92" s="40">
        <f t="shared" si="36"/>
        <v>-2586994.6375130266</v>
      </c>
      <c r="N92" s="40">
        <f t="shared" si="36"/>
        <v>-5197695.2224685112</v>
      </c>
      <c r="O92" s="40">
        <f t="shared" si="36"/>
        <v>-14332684.899133816</v>
      </c>
      <c r="P92" s="40">
        <f t="shared" si="36"/>
        <v>-30037478.693676919</v>
      </c>
      <c r="Q92" s="40">
        <f t="shared" si="36"/>
        <v>-1732087.8692995752</v>
      </c>
      <c r="R92" s="40">
        <f t="shared" si="36"/>
        <v>-160020.15804681036</v>
      </c>
      <c r="T92" s="97">
        <f>F92-SUM(G92:R92)</f>
        <v>0</v>
      </c>
    </row>
    <row r="93" spans="1:20" x14ac:dyDescent="0.25">
      <c r="A93" s="22"/>
      <c r="B93" s="16"/>
      <c r="C93" s="134"/>
      <c r="D93" s="21"/>
      <c r="E93" s="21"/>
      <c r="F93" s="23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20" x14ac:dyDescent="0.25">
      <c r="A94" s="22"/>
      <c r="B94" s="20" t="s">
        <v>195</v>
      </c>
      <c r="C94" s="134"/>
      <c r="D94" s="21"/>
      <c r="E94" s="21"/>
      <c r="F94" s="23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20" x14ac:dyDescent="0.25">
      <c r="A95" s="22" t="s">
        <v>250</v>
      </c>
      <c r="B95" s="16" t="s">
        <v>251</v>
      </c>
      <c r="C95" s="134" t="str">
        <f>INDEX('Alloc Amt'!B:B,MATCH('Rate Base'!D:D,'Alloc Amt'!D:D,0))</f>
        <v>Direct Assign Substation Ease - Accum Depr</v>
      </c>
      <c r="D95" s="21">
        <v>31</v>
      </c>
      <c r="E95" s="21"/>
      <c r="F95" s="23">
        <v>-12148.752</v>
      </c>
      <c r="G95" s="39">
        <f t="shared" ref="G95:R104" si="37">INDEX(Alloc,($D95),(G$1))*$F95</f>
        <v>0</v>
      </c>
      <c r="H95" s="39">
        <f t="shared" si="37"/>
        <v>0</v>
      </c>
      <c r="I95" s="39">
        <f t="shared" si="37"/>
        <v>0</v>
      </c>
      <c r="J95" s="39">
        <f t="shared" si="37"/>
        <v>0</v>
      </c>
      <c r="K95" s="39">
        <f t="shared" si="37"/>
        <v>0</v>
      </c>
      <c r="L95" s="39">
        <f t="shared" si="37"/>
        <v>0</v>
      </c>
      <c r="M95" s="39">
        <f t="shared" si="37"/>
        <v>0</v>
      </c>
      <c r="N95" s="39">
        <f t="shared" si="37"/>
        <v>0</v>
      </c>
      <c r="O95" s="39">
        <f t="shared" si="37"/>
        <v>-12148.752</v>
      </c>
      <c r="P95" s="39">
        <f t="shared" si="37"/>
        <v>0</v>
      </c>
      <c r="Q95" s="39">
        <f t="shared" si="37"/>
        <v>0</v>
      </c>
      <c r="R95" s="39">
        <f t="shared" si="37"/>
        <v>0</v>
      </c>
      <c r="T95" s="97">
        <f t="shared" ref="T95:T158" si="38">F95-SUM(G95:R95)</f>
        <v>0</v>
      </c>
    </row>
    <row r="96" spans="1:20" x14ac:dyDescent="0.25">
      <c r="A96" s="22" t="s">
        <v>252</v>
      </c>
      <c r="B96" s="16" t="s">
        <v>253</v>
      </c>
      <c r="C96" s="134" t="str">
        <f>INDEX('Alloc Amt'!B:B,MATCH('Rate Base'!D:D,'Alloc Amt'!D:D,0))</f>
        <v>Allocate Substation Land - 12 NCP</v>
      </c>
      <c r="D96" s="21">
        <v>42</v>
      </c>
      <c r="E96" s="21"/>
      <c r="F96" s="23">
        <v>-3385851.2480000001</v>
      </c>
      <c r="G96" s="39">
        <f t="shared" si="37"/>
        <v>-1536714.3043749435</v>
      </c>
      <c r="H96" s="39">
        <f t="shared" si="37"/>
        <v>-495399.86428581859</v>
      </c>
      <c r="I96" s="39">
        <f t="shared" si="37"/>
        <v>-644531.56114183192</v>
      </c>
      <c r="J96" s="39">
        <f t="shared" si="37"/>
        <v>-378796.5244031999</v>
      </c>
      <c r="K96" s="39">
        <f t="shared" si="37"/>
        <v>-312002.0550782698</v>
      </c>
      <c r="L96" s="39">
        <f t="shared" si="37"/>
        <v>-68.296062896354968</v>
      </c>
      <c r="M96" s="39">
        <f t="shared" si="37"/>
        <v>-15950.235052794173</v>
      </c>
      <c r="N96" s="39">
        <f t="shared" si="37"/>
        <v>0</v>
      </c>
      <c r="O96" s="39">
        <f t="shared" si="37"/>
        <v>0</v>
      </c>
      <c r="P96" s="39">
        <f t="shared" si="37"/>
        <v>0</v>
      </c>
      <c r="Q96" s="39">
        <f t="shared" si="37"/>
        <v>-2181.1049042825821</v>
      </c>
      <c r="R96" s="39">
        <f t="shared" si="37"/>
        <v>-207.30269596317845</v>
      </c>
      <c r="T96" s="97">
        <f t="shared" si="38"/>
        <v>0</v>
      </c>
    </row>
    <row r="97" spans="1:20" x14ac:dyDescent="0.25">
      <c r="A97" s="22" t="s">
        <v>254</v>
      </c>
      <c r="B97" s="16" t="s">
        <v>198</v>
      </c>
      <c r="C97" s="134" t="str">
        <f>INDEX('Alloc Amt'!B:B,MATCH('Rate Base'!D:D,'Alloc Amt'!D:D,0))</f>
        <v>Direct Assign Substation Structures - Accum Depr</v>
      </c>
      <c r="D97" s="21">
        <v>32</v>
      </c>
      <c r="E97" s="21"/>
      <c r="F97" s="23">
        <v>-233909.65067088912</v>
      </c>
      <c r="G97" s="39">
        <f t="shared" si="37"/>
        <v>0</v>
      </c>
      <c r="H97" s="39">
        <f t="shared" si="37"/>
        <v>0</v>
      </c>
      <c r="I97" s="39">
        <f t="shared" si="37"/>
        <v>0</v>
      </c>
      <c r="J97" s="39">
        <f t="shared" si="37"/>
        <v>0</v>
      </c>
      <c r="K97" s="39">
        <f t="shared" si="37"/>
        <v>-10967.308000000001</v>
      </c>
      <c r="L97" s="39">
        <f t="shared" si="37"/>
        <v>0</v>
      </c>
      <c r="M97" s="39">
        <f t="shared" si="37"/>
        <v>0</v>
      </c>
      <c r="N97" s="39">
        <f t="shared" si="37"/>
        <v>-64314.79908808913</v>
      </c>
      <c r="O97" s="39">
        <f t="shared" si="37"/>
        <v>-57917.228582800002</v>
      </c>
      <c r="P97" s="39">
        <f t="shared" si="37"/>
        <v>-100710.315</v>
      </c>
      <c r="Q97" s="39">
        <f t="shared" si="37"/>
        <v>0</v>
      </c>
      <c r="R97" s="39">
        <f t="shared" si="37"/>
        <v>0</v>
      </c>
      <c r="T97" s="97">
        <f t="shared" si="38"/>
        <v>0</v>
      </c>
    </row>
    <row r="98" spans="1:20" x14ac:dyDescent="0.25">
      <c r="A98" s="22" t="s">
        <v>255</v>
      </c>
      <c r="B98" s="16" t="s">
        <v>199</v>
      </c>
      <c r="C98" s="134" t="str">
        <f>INDEX('Alloc Amt'!B:B,MATCH('Rate Base'!D:D,'Alloc Amt'!D:D,0))</f>
        <v>Allocate Substation Structures - 12 NCP</v>
      </c>
      <c r="D98" s="21">
        <v>43</v>
      </c>
      <c r="E98" s="21"/>
      <c r="F98" s="23">
        <v>-2350398.6893291106</v>
      </c>
      <c r="G98" s="39">
        <f t="shared" si="37"/>
        <v>-1196523.6828054921</v>
      </c>
      <c r="H98" s="39">
        <f t="shared" si="37"/>
        <v>-329384.14714868448</v>
      </c>
      <c r="I98" s="39">
        <f t="shared" si="37"/>
        <v>-409088.22790763038</v>
      </c>
      <c r="J98" s="39">
        <f t="shared" si="37"/>
        <v>-237919.47065308262</v>
      </c>
      <c r="K98" s="39">
        <f t="shared" si="37"/>
        <v>-156194.14895802576</v>
      </c>
      <c r="L98" s="39">
        <f t="shared" si="37"/>
        <v>-0.33967581482413345</v>
      </c>
      <c r="M98" s="39">
        <f t="shared" si="37"/>
        <v>-19203.062677360151</v>
      </c>
      <c r="N98" s="39">
        <f t="shared" si="37"/>
        <v>0</v>
      </c>
      <c r="O98" s="39">
        <f t="shared" si="37"/>
        <v>0</v>
      </c>
      <c r="P98" s="39">
        <f t="shared" si="37"/>
        <v>0</v>
      </c>
      <c r="Q98" s="39">
        <f t="shared" si="37"/>
        <v>-1818.1147988461746</v>
      </c>
      <c r="R98" s="39">
        <f t="shared" si="37"/>
        <v>-267.49470417400511</v>
      </c>
      <c r="T98" s="97">
        <f t="shared" si="38"/>
        <v>0</v>
      </c>
    </row>
    <row r="99" spans="1:20" x14ac:dyDescent="0.25">
      <c r="A99" s="22" t="s">
        <v>256</v>
      </c>
      <c r="B99" s="16" t="s">
        <v>200</v>
      </c>
      <c r="C99" s="134" t="str">
        <f>INDEX('Alloc Amt'!B:B,MATCH('Rate Base'!D:D,'Alloc Amt'!D:D,0))</f>
        <v>Direct Assign Substation Equipment - Accum Depr</v>
      </c>
      <c r="D99" s="21">
        <v>33</v>
      </c>
      <c r="E99" s="21"/>
      <c r="F99" s="23">
        <v>-11586662.121254718</v>
      </c>
      <c r="G99" s="39">
        <f t="shared" si="37"/>
        <v>0</v>
      </c>
      <c r="H99" s="39">
        <f t="shared" si="37"/>
        <v>0</v>
      </c>
      <c r="I99" s="39">
        <f t="shared" si="37"/>
        <v>0</v>
      </c>
      <c r="J99" s="39">
        <f t="shared" si="37"/>
        <v>0</v>
      </c>
      <c r="K99" s="39">
        <f t="shared" si="37"/>
        <v>-698898.21200000006</v>
      </c>
      <c r="L99" s="39">
        <f t="shared" si="37"/>
        <v>0</v>
      </c>
      <c r="M99" s="39">
        <f t="shared" si="37"/>
        <v>0</v>
      </c>
      <c r="N99" s="39">
        <f t="shared" si="37"/>
        <v>-3115650.3046919182</v>
      </c>
      <c r="O99" s="39">
        <f t="shared" si="37"/>
        <v>-4407970.1745627997</v>
      </c>
      <c r="P99" s="39">
        <f t="shared" si="37"/>
        <v>-3364143.4299999997</v>
      </c>
      <c r="Q99" s="39">
        <f t="shared" si="37"/>
        <v>0</v>
      </c>
      <c r="R99" s="39">
        <f t="shared" si="37"/>
        <v>0</v>
      </c>
      <c r="T99" s="97">
        <f t="shared" si="38"/>
        <v>0</v>
      </c>
    </row>
    <row r="100" spans="1:20" x14ac:dyDescent="0.25">
      <c r="A100" s="22" t="s">
        <v>257</v>
      </c>
      <c r="B100" s="16" t="s">
        <v>201</v>
      </c>
      <c r="C100" s="134" t="str">
        <f>INDEX('Alloc Amt'!B:B,MATCH('Rate Base'!D:D,'Alloc Amt'!D:D,0))</f>
        <v>Allocate Substation Equipment - 12 NCP</v>
      </c>
      <c r="D100" s="21">
        <v>44</v>
      </c>
      <c r="E100" s="21"/>
      <c r="F100" s="23">
        <v>-125501319.31874529</v>
      </c>
      <c r="G100" s="39">
        <f t="shared" si="37"/>
        <v>-70054303.221883804</v>
      </c>
      <c r="H100" s="39">
        <f t="shared" si="37"/>
        <v>-16937305.614666715</v>
      </c>
      <c r="I100" s="39">
        <f t="shared" si="37"/>
        <v>-18610535.875498135</v>
      </c>
      <c r="J100" s="39">
        <f t="shared" si="37"/>
        <v>-9902511.1893525105</v>
      </c>
      <c r="K100" s="39">
        <f t="shared" si="37"/>
        <v>-8816063.1958567835</v>
      </c>
      <c r="L100" s="39">
        <f t="shared" si="37"/>
        <v>-32416.630794771561</v>
      </c>
      <c r="M100" s="39">
        <f t="shared" si="37"/>
        <v>-1012427.2144749047</v>
      </c>
      <c r="N100" s="39">
        <f t="shared" si="37"/>
        <v>0</v>
      </c>
      <c r="O100" s="39">
        <f t="shared" si="37"/>
        <v>0</v>
      </c>
      <c r="P100" s="39">
        <f t="shared" si="37"/>
        <v>0</v>
      </c>
      <c r="Q100" s="39">
        <f t="shared" si="37"/>
        <v>-101244.80588646964</v>
      </c>
      <c r="R100" s="39">
        <f t="shared" si="37"/>
        <v>-34511.570331189971</v>
      </c>
      <c r="T100" s="97">
        <f t="shared" si="38"/>
        <v>0</v>
      </c>
    </row>
    <row r="101" spans="1:20" x14ac:dyDescent="0.25">
      <c r="A101" s="22" t="s">
        <v>258</v>
      </c>
      <c r="B101" s="16" t="s">
        <v>202</v>
      </c>
      <c r="C101" s="134" t="str">
        <f>INDEX('Alloc Amt'!B:B,MATCH('Rate Base'!D:D,'Alloc Amt'!D:D,0))</f>
        <v>Allocate Substation Equipment - 12 NCP</v>
      </c>
      <c r="D101" s="21">
        <v>44</v>
      </c>
      <c r="E101" s="21"/>
      <c r="F101" s="23">
        <v>-124550.5</v>
      </c>
      <c r="G101" s="39">
        <f t="shared" si="37"/>
        <v>-69523.559917939448</v>
      </c>
      <c r="H101" s="39">
        <f t="shared" si="37"/>
        <v>-16808.985709558652</v>
      </c>
      <c r="I101" s="39">
        <f t="shared" si="37"/>
        <v>-18469.539293640028</v>
      </c>
      <c r="J101" s="39">
        <f t="shared" si="37"/>
        <v>-9827.4880820733397</v>
      </c>
      <c r="K101" s="39">
        <f t="shared" si="37"/>
        <v>-8749.2712031717492</v>
      </c>
      <c r="L101" s="39">
        <f t="shared" si="37"/>
        <v>-32.171036892049152</v>
      </c>
      <c r="M101" s="39">
        <f t="shared" si="37"/>
        <v>-1004.7568938792994</v>
      </c>
      <c r="N101" s="39">
        <f t="shared" si="37"/>
        <v>0</v>
      </c>
      <c r="O101" s="39">
        <f t="shared" si="37"/>
        <v>0</v>
      </c>
      <c r="P101" s="39">
        <f t="shared" si="37"/>
        <v>0</v>
      </c>
      <c r="Q101" s="39">
        <f t="shared" si="37"/>
        <v>-100.47775803484522</v>
      </c>
      <c r="R101" s="39">
        <f t="shared" si="37"/>
        <v>-34.250104810594202</v>
      </c>
      <c r="T101" s="97">
        <f t="shared" si="38"/>
        <v>0</v>
      </c>
    </row>
    <row r="102" spans="1:20" x14ac:dyDescent="0.25">
      <c r="A102" s="22" t="s">
        <v>259</v>
      </c>
      <c r="B102" s="16" t="s">
        <v>203</v>
      </c>
      <c r="C102" s="134" t="str">
        <f>INDEX('Alloc Amt'!B:B,MATCH('Rate Base'!D:D,'Alloc Amt'!D:D,0))</f>
        <v>Allocate Overhead Lines - 12 NCP</v>
      </c>
      <c r="D102" s="21">
        <v>45</v>
      </c>
      <c r="E102" s="21"/>
      <c r="F102" s="23">
        <v>-149346565.32902548</v>
      </c>
      <c r="G102" s="39">
        <f t="shared" si="37"/>
        <v>-102931601.96611065</v>
      </c>
      <c r="H102" s="39">
        <f t="shared" si="37"/>
        <v>-18807377.896459486</v>
      </c>
      <c r="I102" s="39">
        <f t="shared" si="37"/>
        <v>-14621410.245547814</v>
      </c>
      <c r="J102" s="39">
        <f t="shared" si="37"/>
        <v>-5784000.7412238782</v>
      </c>
      <c r="K102" s="39">
        <f t="shared" si="37"/>
        <v>-5414081.5071386537</v>
      </c>
      <c r="L102" s="39">
        <f t="shared" si="37"/>
        <v>-135607.05093797357</v>
      </c>
      <c r="M102" s="39">
        <f t="shared" si="37"/>
        <v>-1458975.8599808973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-90454.703225219113</v>
      </c>
      <c r="R102" s="39">
        <f t="shared" si="37"/>
        <v>-103055.35840087153</v>
      </c>
      <c r="T102" s="97">
        <f t="shared" si="38"/>
        <v>0</v>
      </c>
    </row>
    <row r="103" spans="1:20" x14ac:dyDescent="0.25">
      <c r="A103" s="22" t="s">
        <v>260</v>
      </c>
      <c r="B103" s="16" t="s">
        <v>261</v>
      </c>
      <c r="C103" s="134" t="str">
        <f>INDEX('Alloc Amt'!B:B,MATCH('Rate Base'!D:D,'Alloc Amt'!D:D,0))</f>
        <v>Direct Assign OH Dist Lines - Accum Depr</v>
      </c>
      <c r="D103" s="21">
        <v>34</v>
      </c>
      <c r="E103" s="21"/>
      <c r="F103" s="23">
        <v>-55883.055832029437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0</v>
      </c>
      <c r="L103" s="39">
        <f t="shared" si="37"/>
        <v>0</v>
      </c>
      <c r="M103" s="39">
        <f t="shared" si="37"/>
        <v>0</v>
      </c>
      <c r="N103" s="39">
        <f t="shared" si="37"/>
        <v>-55883.055832029437</v>
      </c>
      <c r="O103" s="39">
        <f t="shared" si="37"/>
        <v>0</v>
      </c>
      <c r="P103" s="39">
        <f t="shared" si="37"/>
        <v>0</v>
      </c>
      <c r="Q103" s="39">
        <f t="shared" si="37"/>
        <v>0</v>
      </c>
      <c r="R103" s="39">
        <f t="shared" si="37"/>
        <v>0</v>
      </c>
      <c r="T103" s="97">
        <f t="shared" si="38"/>
        <v>0</v>
      </c>
    </row>
    <row r="104" spans="1:20" x14ac:dyDescent="0.25">
      <c r="A104" s="22" t="s">
        <v>262</v>
      </c>
      <c r="B104" s="16" t="s">
        <v>205</v>
      </c>
      <c r="C104" s="134" t="str">
        <f>INDEX('Alloc Amt'!B:B,MATCH('Rate Base'!D:D,'Alloc Amt'!D:D,0))</f>
        <v>Allocate Overhead Lines - 12 NCP</v>
      </c>
      <c r="D104" s="21">
        <v>45</v>
      </c>
      <c r="E104" s="21"/>
      <c r="F104" s="23">
        <v>-132596941.81008512</v>
      </c>
      <c r="G104" s="39">
        <f t="shared" si="37"/>
        <v>-91387542.835353374</v>
      </c>
      <c r="H104" s="39">
        <f t="shared" si="37"/>
        <v>-16698079.309979618</v>
      </c>
      <c r="I104" s="39">
        <f t="shared" si="37"/>
        <v>-12981579.316799255</v>
      </c>
      <c r="J104" s="39">
        <f t="shared" si="37"/>
        <v>-5135309.3258214826</v>
      </c>
      <c r="K104" s="39">
        <f t="shared" si="37"/>
        <v>-4806877.5400059372</v>
      </c>
      <c r="L104" s="39">
        <f t="shared" si="37"/>
        <v>-120398.35132897504</v>
      </c>
      <c r="M104" s="39">
        <f t="shared" si="37"/>
        <v>-1295347.7489221364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-80309.962224968986</v>
      </c>
      <c r="R104" s="39">
        <f t="shared" si="37"/>
        <v>-91497.419649342759</v>
      </c>
      <c r="T104" s="97">
        <f t="shared" si="38"/>
        <v>0</v>
      </c>
    </row>
    <row r="105" spans="1:20" x14ac:dyDescent="0.25">
      <c r="A105" s="22" t="s">
        <v>263</v>
      </c>
      <c r="B105" s="16" t="s">
        <v>264</v>
      </c>
      <c r="C105" s="134" t="str">
        <f>INDEX('Alloc Amt'!B:B,MATCH('Rate Base'!D:D,'Alloc Amt'!D:D,0))</f>
        <v>Direct Assign UG Dist Lines</v>
      </c>
      <c r="D105" s="21">
        <v>35</v>
      </c>
      <c r="E105" s="21"/>
      <c r="F105" s="23">
        <v>-16526870.952044467</v>
      </c>
      <c r="G105" s="39">
        <f t="shared" ref="G105:R115" si="39">INDEX(Alloc,($D105),(G$1))*$F105</f>
        <v>0</v>
      </c>
      <c r="H105" s="39">
        <f t="shared" si="39"/>
        <v>0</v>
      </c>
      <c r="I105" s="39">
        <f t="shared" si="39"/>
        <v>0</v>
      </c>
      <c r="J105" s="39">
        <f t="shared" si="39"/>
        <v>0</v>
      </c>
      <c r="K105" s="39">
        <f t="shared" si="39"/>
        <v>0</v>
      </c>
      <c r="L105" s="39">
        <f t="shared" si="39"/>
        <v>0</v>
      </c>
      <c r="M105" s="39">
        <f t="shared" si="39"/>
        <v>0</v>
      </c>
      <c r="N105" s="39">
        <f t="shared" si="39"/>
        <v>-14546761.500330182</v>
      </c>
      <c r="O105" s="39">
        <f t="shared" si="39"/>
        <v>-1954966.5945714284</v>
      </c>
      <c r="P105" s="39">
        <f t="shared" si="39"/>
        <v>-25142.857142857145</v>
      </c>
      <c r="Q105" s="39">
        <f t="shared" si="39"/>
        <v>0</v>
      </c>
      <c r="R105" s="39">
        <f t="shared" si="39"/>
        <v>0</v>
      </c>
      <c r="T105" s="97">
        <f t="shared" si="38"/>
        <v>0</v>
      </c>
    </row>
    <row r="106" spans="1:20" x14ac:dyDescent="0.25">
      <c r="A106" s="22" t="s">
        <v>265</v>
      </c>
      <c r="B106" s="16" t="s">
        <v>266</v>
      </c>
      <c r="C106" s="134" t="str">
        <f>INDEX('Alloc Amt'!B:B,MATCH('Rate Base'!D:D,'Alloc Amt'!D:D,0))</f>
        <v>Allocate Underground Lines - 12 NCP</v>
      </c>
      <c r="D106" s="21">
        <v>47</v>
      </c>
      <c r="E106" s="21"/>
      <c r="F106" s="23">
        <v>-274285943.71102428</v>
      </c>
      <c r="G106" s="39">
        <f t="shared" si="39"/>
        <v>-184592940.76400334</v>
      </c>
      <c r="H106" s="39">
        <f t="shared" si="39"/>
        <v>-32892203.765319232</v>
      </c>
      <c r="I106" s="39">
        <f t="shared" si="39"/>
        <v>-30694312.544480834</v>
      </c>
      <c r="J106" s="39">
        <f t="shared" si="39"/>
        <v>-13326619.640014224</v>
      </c>
      <c r="K106" s="39">
        <f t="shared" si="39"/>
        <v>-9505607.5138858818</v>
      </c>
      <c r="L106" s="39">
        <f t="shared" si="39"/>
        <v>-112886.73968415053</v>
      </c>
      <c r="M106" s="39">
        <f t="shared" si="39"/>
        <v>-2959808.7096463661</v>
      </c>
      <c r="N106" s="39">
        <f t="shared" si="39"/>
        <v>0</v>
      </c>
      <c r="O106" s="39">
        <f t="shared" si="39"/>
        <v>0</v>
      </c>
      <c r="P106" s="39">
        <f t="shared" si="39"/>
        <v>0</v>
      </c>
      <c r="Q106" s="39">
        <f t="shared" si="39"/>
        <v>-126487.55169428916</v>
      </c>
      <c r="R106" s="39">
        <f t="shared" si="39"/>
        <v>-75076.482295965165</v>
      </c>
      <c r="T106" s="97">
        <f t="shared" si="38"/>
        <v>0</v>
      </c>
    </row>
    <row r="107" spans="1:20" x14ac:dyDescent="0.25">
      <c r="A107" s="22" t="s">
        <v>267</v>
      </c>
      <c r="B107" s="16" t="s">
        <v>268</v>
      </c>
      <c r="C107" s="134" t="str">
        <f>INDEX('Alloc Amt'!B:B,MATCH('Rate Base'!D:D,'Alloc Amt'!D:D,0))</f>
        <v>Allocate Underground Lines - 12 NCP</v>
      </c>
      <c r="D107" s="21">
        <v>47</v>
      </c>
      <c r="E107" s="21"/>
      <c r="F107" s="23">
        <v>-387170816.60218024</v>
      </c>
      <c r="G107" s="39">
        <f t="shared" si="39"/>
        <v>-260563843.14718542</v>
      </c>
      <c r="H107" s="39">
        <f t="shared" si="39"/>
        <v>-46429289.154827751</v>
      </c>
      <c r="I107" s="39">
        <f t="shared" si="39"/>
        <v>-43326835.827247471</v>
      </c>
      <c r="J107" s="39">
        <f t="shared" si="39"/>
        <v>-18811311.0674274</v>
      </c>
      <c r="K107" s="39">
        <f t="shared" si="39"/>
        <v>-13417726.674788753</v>
      </c>
      <c r="L107" s="39">
        <f t="shared" si="39"/>
        <v>-159346.30333487858</v>
      </c>
      <c r="M107" s="39">
        <f t="shared" si="39"/>
        <v>-4177944.8833417199</v>
      </c>
      <c r="N107" s="39">
        <f t="shared" si="39"/>
        <v>0</v>
      </c>
      <c r="O107" s="39">
        <f t="shared" si="39"/>
        <v>0</v>
      </c>
      <c r="P107" s="39">
        <f t="shared" si="39"/>
        <v>0</v>
      </c>
      <c r="Q107" s="39">
        <f t="shared" si="39"/>
        <v>-178544.65313426155</v>
      </c>
      <c r="R107" s="39">
        <f t="shared" si="39"/>
        <v>-105974.89089259393</v>
      </c>
      <c r="T107" s="97">
        <f t="shared" si="38"/>
        <v>0</v>
      </c>
    </row>
    <row r="108" spans="1:20" x14ac:dyDescent="0.25">
      <c r="A108" s="22" t="s">
        <v>269</v>
      </c>
      <c r="B108" s="16" t="s">
        <v>270</v>
      </c>
      <c r="C108" s="134" t="str">
        <f>INDEX('Alloc Amt'!B:B,MATCH('Rate Base'!D:D,'Alloc Amt'!D:D,0))</f>
        <v>Line Transformers</v>
      </c>
      <c r="D108" s="21">
        <v>41</v>
      </c>
      <c r="E108" s="21"/>
      <c r="F108" s="23">
        <v>-1245672</v>
      </c>
      <c r="G108" s="39">
        <f t="shared" si="39"/>
        <v>0</v>
      </c>
      <c r="H108" s="39">
        <f t="shared" si="39"/>
        <v>0</v>
      </c>
      <c r="I108" s="39">
        <f t="shared" si="39"/>
        <v>0</v>
      </c>
      <c r="J108" s="39">
        <f t="shared" si="39"/>
        <v>0</v>
      </c>
      <c r="K108" s="39">
        <f t="shared" si="39"/>
        <v>-412218.0095138941</v>
      </c>
      <c r="L108" s="39">
        <f t="shared" si="39"/>
        <v>0</v>
      </c>
      <c r="M108" s="39">
        <f t="shared" si="39"/>
        <v>-23624.820130172873</v>
      </c>
      <c r="N108" s="39">
        <f t="shared" si="39"/>
        <v>-800130.57324986497</v>
      </c>
      <c r="O108" s="39">
        <f t="shared" si="39"/>
        <v>0</v>
      </c>
      <c r="P108" s="39">
        <f t="shared" si="39"/>
        <v>0</v>
      </c>
      <c r="Q108" s="39">
        <f t="shared" si="39"/>
        <v>0</v>
      </c>
      <c r="R108" s="39">
        <f t="shared" si="39"/>
        <v>-9698.5971060680858</v>
      </c>
      <c r="T108" s="97">
        <f t="shared" si="38"/>
        <v>0</v>
      </c>
    </row>
    <row r="109" spans="1:20" x14ac:dyDescent="0.25">
      <c r="A109" s="22" t="s">
        <v>271</v>
      </c>
      <c r="B109" s="16" t="s">
        <v>272</v>
      </c>
      <c r="C109" s="134" t="str">
        <f>INDEX('Alloc Amt'!B:B,MATCH('Rate Base'!D:D,'Alloc Amt'!D:D,0))</f>
        <v>Allocate Overhead Transformers</v>
      </c>
      <c r="D109" s="21">
        <v>46</v>
      </c>
      <c r="E109" s="21"/>
      <c r="F109" s="23">
        <v>-72954566.067123711</v>
      </c>
      <c r="G109" s="39">
        <f t="shared" si="39"/>
        <v>-54471763.488865152</v>
      </c>
      <c r="H109" s="39">
        <f t="shared" si="39"/>
        <v>-8921362.3803448081</v>
      </c>
      <c r="I109" s="39">
        <f t="shared" si="39"/>
        <v>-1304252.6428713268</v>
      </c>
      <c r="J109" s="39">
        <f t="shared" si="39"/>
        <v>-14707.255189992533</v>
      </c>
      <c r="K109" s="39">
        <f t="shared" si="39"/>
        <v>0</v>
      </c>
      <c r="L109" s="39">
        <f t="shared" si="39"/>
        <v>0</v>
      </c>
      <c r="M109" s="39">
        <f t="shared" si="39"/>
        <v>0</v>
      </c>
      <c r="N109" s="39">
        <f t="shared" si="39"/>
        <v>0</v>
      </c>
      <c r="O109" s="39">
        <f t="shared" si="39"/>
        <v>0</v>
      </c>
      <c r="P109" s="39">
        <f t="shared" si="39"/>
        <v>0</v>
      </c>
      <c r="Q109" s="39">
        <f t="shared" si="39"/>
        <v>-8242480.2998524411</v>
      </c>
      <c r="R109" s="39">
        <f t="shared" si="39"/>
        <v>0</v>
      </c>
      <c r="T109" s="97">
        <f t="shared" si="38"/>
        <v>0</v>
      </c>
    </row>
    <row r="110" spans="1:20" x14ac:dyDescent="0.25">
      <c r="A110" s="22" t="s">
        <v>273</v>
      </c>
      <c r="B110" s="16" t="s">
        <v>274</v>
      </c>
      <c r="C110" s="134" t="str">
        <f>INDEX('Alloc Amt'!B:B,MATCH('Rate Base'!D:D,'Alloc Amt'!D:D,0))</f>
        <v>Allocate Underground Transformers</v>
      </c>
      <c r="D110" s="21">
        <v>48</v>
      </c>
      <c r="E110" s="21"/>
      <c r="F110" s="23">
        <v>-134960859.27036494</v>
      </c>
      <c r="G110" s="39">
        <f t="shared" si="39"/>
        <v>-107817200.16035898</v>
      </c>
      <c r="H110" s="39">
        <f t="shared" si="39"/>
        <v>-16667975.048270775</v>
      </c>
      <c r="I110" s="39">
        <f t="shared" si="39"/>
        <v>-7944274.4123820299</v>
      </c>
      <c r="J110" s="39">
        <f t="shared" si="39"/>
        <v>-2195175.1860408979</v>
      </c>
      <c r="K110" s="39">
        <f t="shared" si="39"/>
        <v>0</v>
      </c>
      <c r="L110" s="39">
        <f t="shared" si="39"/>
        <v>0</v>
      </c>
      <c r="M110" s="39">
        <f t="shared" si="39"/>
        <v>0</v>
      </c>
      <c r="N110" s="39">
        <f t="shared" si="39"/>
        <v>0</v>
      </c>
      <c r="O110" s="39">
        <f t="shared" si="39"/>
        <v>0</v>
      </c>
      <c r="P110" s="39">
        <f t="shared" si="39"/>
        <v>0</v>
      </c>
      <c r="Q110" s="39">
        <f t="shared" si="39"/>
        <v>-336234.46331225522</v>
      </c>
      <c r="R110" s="39">
        <f t="shared" si="39"/>
        <v>0</v>
      </c>
      <c r="T110" s="97">
        <f t="shared" si="38"/>
        <v>0</v>
      </c>
    </row>
    <row r="111" spans="1:20" x14ac:dyDescent="0.25">
      <c r="A111" s="22" t="s">
        <v>275</v>
      </c>
      <c r="B111" s="16" t="s">
        <v>276</v>
      </c>
      <c r="C111" s="134" t="str">
        <f>INDEX('Alloc Amt'!B:B,MATCH('Rate Base'!D:D,'Alloc Amt'!D:D,0))</f>
        <v>Dist OH Services (Sec Voltage Only)</v>
      </c>
      <c r="D111" s="21">
        <v>20</v>
      </c>
      <c r="E111" s="21"/>
      <c r="F111" s="23">
        <v>-33106913.110664558</v>
      </c>
      <c r="G111" s="39">
        <f t="shared" si="39"/>
        <v>-28570731.161835331</v>
      </c>
      <c r="H111" s="39">
        <f t="shared" si="39"/>
        <v>-4365306.1039201962</v>
      </c>
      <c r="I111" s="39">
        <f t="shared" si="39"/>
        <v>-167252.18184545738</v>
      </c>
      <c r="J111" s="39">
        <f t="shared" si="39"/>
        <v>-3623.6630635751485</v>
      </c>
      <c r="K111" s="39">
        <f t="shared" si="39"/>
        <v>0</v>
      </c>
      <c r="L111" s="39">
        <f t="shared" si="39"/>
        <v>0</v>
      </c>
      <c r="M111" s="39">
        <f t="shared" si="39"/>
        <v>0</v>
      </c>
      <c r="N111" s="39">
        <f t="shared" si="39"/>
        <v>0</v>
      </c>
      <c r="O111" s="39">
        <f t="shared" si="39"/>
        <v>0</v>
      </c>
      <c r="P111" s="39">
        <f t="shared" si="39"/>
        <v>0</v>
      </c>
      <c r="Q111" s="39">
        <f t="shared" si="39"/>
        <v>0</v>
      </c>
      <c r="R111" s="39">
        <f t="shared" si="39"/>
        <v>0</v>
      </c>
      <c r="T111" s="97">
        <f t="shared" si="38"/>
        <v>0</v>
      </c>
    </row>
    <row r="112" spans="1:20" x14ac:dyDescent="0.25">
      <c r="A112" s="22" t="s">
        <v>277</v>
      </c>
      <c r="B112" s="16" t="s">
        <v>278</v>
      </c>
      <c r="C112" s="134" t="str">
        <f>INDEX('Alloc Amt'!B:B,MATCH('Rate Base'!D:D,'Alloc Amt'!D:D,0))</f>
        <v>Residential Allocation Only</v>
      </c>
      <c r="D112" s="21">
        <v>24</v>
      </c>
      <c r="E112" s="21"/>
      <c r="F112" s="23">
        <v>-93641215.226628304</v>
      </c>
      <c r="G112" s="39">
        <f t="shared" si="39"/>
        <v>-93641215.226628304</v>
      </c>
      <c r="H112" s="39">
        <f t="shared" si="39"/>
        <v>0</v>
      </c>
      <c r="I112" s="39">
        <f t="shared" si="39"/>
        <v>0</v>
      </c>
      <c r="J112" s="39">
        <f t="shared" si="39"/>
        <v>0</v>
      </c>
      <c r="K112" s="39">
        <f t="shared" si="39"/>
        <v>0</v>
      </c>
      <c r="L112" s="39">
        <f t="shared" si="39"/>
        <v>0</v>
      </c>
      <c r="M112" s="39">
        <f t="shared" si="39"/>
        <v>0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0</v>
      </c>
      <c r="R112" s="39">
        <f t="shared" si="39"/>
        <v>0</v>
      </c>
      <c r="T112" s="97">
        <f t="shared" si="38"/>
        <v>0</v>
      </c>
    </row>
    <row r="113" spans="1:20" x14ac:dyDescent="0.25">
      <c r="A113" s="22" t="s">
        <v>279</v>
      </c>
      <c r="B113" s="16" t="s">
        <v>218</v>
      </c>
      <c r="C113" s="134" t="str">
        <f>INDEX('Alloc Amt'!B:B,MATCH('Rate Base'!D:D,'Alloc Amt'!D:D,0))</f>
        <v>Meter Investment</v>
      </c>
      <c r="D113" s="21">
        <v>19</v>
      </c>
      <c r="E113" s="21"/>
      <c r="F113" s="23">
        <v>-39213863.239287503</v>
      </c>
      <c r="G113" s="39">
        <f t="shared" si="39"/>
        <v>-25458658.24115362</v>
      </c>
      <c r="H113" s="39">
        <f t="shared" si="39"/>
        <v>-7145874.7784302495</v>
      </c>
      <c r="I113" s="39">
        <f t="shared" si="39"/>
        <v>-2111863.9488710072</v>
      </c>
      <c r="J113" s="39">
        <f t="shared" si="39"/>
        <v>-237355.39323898061</v>
      </c>
      <c r="K113" s="39">
        <f t="shared" si="39"/>
        <v>-2842995.6880319864</v>
      </c>
      <c r="L113" s="39">
        <f t="shared" si="39"/>
        <v>-9217.8877958739613</v>
      </c>
      <c r="M113" s="39">
        <f t="shared" si="39"/>
        <v>-918804.14483524207</v>
      </c>
      <c r="N113" s="39">
        <f t="shared" si="39"/>
        <v>-185829.47368523726</v>
      </c>
      <c r="O113" s="39">
        <f t="shared" si="39"/>
        <v>-115399.66048185888</v>
      </c>
      <c r="P113" s="39">
        <f t="shared" si="39"/>
        <v>-185792.45871956355</v>
      </c>
      <c r="Q113" s="39">
        <f t="shared" si="39"/>
        <v>0</v>
      </c>
      <c r="R113" s="39">
        <f t="shared" si="39"/>
        <v>-2071.5640438791515</v>
      </c>
      <c r="T113" s="97">
        <f t="shared" si="38"/>
        <v>0</v>
      </c>
    </row>
    <row r="114" spans="1:20" x14ac:dyDescent="0.25">
      <c r="A114" s="22" t="s">
        <v>280</v>
      </c>
      <c r="B114" s="16" t="s">
        <v>219</v>
      </c>
      <c r="C114" s="134" t="str">
        <f>INDEX('Alloc Amt'!B:B,MATCH('Rate Base'!D:D,'Alloc Amt'!D:D,0))</f>
        <v>Str. &amp; Signal Systems</v>
      </c>
      <c r="D114" s="21">
        <v>12</v>
      </c>
      <c r="E114" s="21"/>
      <c r="F114" s="23">
        <v>-20006963.143007282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0</v>
      </c>
      <c r="L114" s="39">
        <f t="shared" si="39"/>
        <v>0</v>
      </c>
      <c r="M114" s="39">
        <f t="shared" si="39"/>
        <v>0</v>
      </c>
      <c r="N114" s="39">
        <f t="shared" si="39"/>
        <v>0</v>
      </c>
      <c r="O114" s="39">
        <f t="shared" si="39"/>
        <v>0</v>
      </c>
      <c r="P114" s="39">
        <f t="shared" si="39"/>
        <v>0</v>
      </c>
      <c r="Q114" s="39">
        <f t="shared" si="39"/>
        <v>-20006963.143007282</v>
      </c>
      <c r="R114" s="39">
        <f t="shared" si="39"/>
        <v>0</v>
      </c>
      <c r="T114" s="97">
        <f t="shared" si="38"/>
        <v>0</v>
      </c>
    </row>
    <row r="115" spans="1:20" x14ac:dyDescent="0.25">
      <c r="A115" s="22" t="s">
        <v>281</v>
      </c>
      <c r="B115" s="16" t="s">
        <v>220</v>
      </c>
      <c r="C115" s="134" t="str">
        <f>INDEX('Alloc Amt'!B:B,MATCH('Rate Base'!D:D,'Alloc Amt'!D:D,0))</f>
        <v>Total Distribution OH &amp; UG Lines</v>
      </c>
      <c r="D115" s="21">
        <v>71</v>
      </c>
      <c r="E115" s="21"/>
      <c r="F115" s="23">
        <v>-444030</v>
      </c>
      <c r="G115" s="39">
        <f t="shared" si="39"/>
        <v>-297848.20035241882</v>
      </c>
      <c r="H115" s="39">
        <f t="shared" si="39"/>
        <v>-53526.943492957427</v>
      </c>
      <c r="I115" s="39">
        <f t="shared" si="39"/>
        <v>-47097.551984116624</v>
      </c>
      <c r="J115" s="39">
        <f t="shared" si="39"/>
        <v>-19898.990309761586</v>
      </c>
      <c r="K115" s="39">
        <f t="shared" si="39"/>
        <v>-15448.335230700943</v>
      </c>
      <c r="L115" s="39">
        <f t="shared" si="39"/>
        <v>-252.90775445017812</v>
      </c>
      <c r="M115" s="39">
        <f t="shared" si="39"/>
        <v>-4589.3214829353083</v>
      </c>
      <c r="N115" s="39">
        <f t="shared" si="39"/>
        <v>-3991.7044895898039</v>
      </c>
      <c r="O115" s="39">
        <f t="shared" si="39"/>
        <v>-966.01326507160377</v>
      </c>
      <c r="P115" s="39">
        <f t="shared" si="39"/>
        <v>-5.8051893053770307</v>
      </c>
      <c r="Q115" s="39">
        <f t="shared" si="39"/>
        <v>-223.49545310550741</v>
      </c>
      <c r="R115" s="39">
        <f t="shared" si="39"/>
        <v>-180.73099558673977</v>
      </c>
      <c r="T115" s="97">
        <f t="shared" si="38"/>
        <v>0</v>
      </c>
    </row>
    <row r="116" spans="1:20" x14ac:dyDescent="0.25">
      <c r="A116" s="25"/>
      <c r="B116" s="24" t="s">
        <v>188</v>
      </c>
      <c r="C116" s="135"/>
      <c r="D116" s="26"/>
      <c r="E116" s="26"/>
      <c r="F116" s="27">
        <f>SUM(F95:F115)</f>
        <v>-1498751943.7972682</v>
      </c>
      <c r="G116" s="40">
        <f t="shared" ref="G116:R116" si="40">SUM(G95:G115)</f>
        <v>-1022590409.9608288</v>
      </c>
      <c r="H116" s="40">
        <f t="shared" si="40"/>
        <v>-169759893.99285582</v>
      </c>
      <c r="I116" s="40">
        <f t="shared" si="40"/>
        <v>-132881503.87587054</v>
      </c>
      <c r="J116" s="40">
        <f t="shared" si="40"/>
        <v>-56057055.934821069</v>
      </c>
      <c r="K116" s="40">
        <f t="shared" si="40"/>
        <v>-46417829.459692053</v>
      </c>
      <c r="L116" s="40">
        <f t="shared" si="40"/>
        <v>-570226.67840667663</v>
      </c>
      <c r="M116" s="40">
        <f t="shared" si="40"/>
        <v>-11887680.757438408</v>
      </c>
      <c r="N116" s="40">
        <f t="shared" si="40"/>
        <v>-18772561.41136691</v>
      </c>
      <c r="O116" s="40">
        <f t="shared" si="40"/>
        <v>-6549368.4234639583</v>
      </c>
      <c r="P116" s="40">
        <f t="shared" si="40"/>
        <v>-3675794.866051726</v>
      </c>
      <c r="Q116" s="40">
        <f t="shared" si="40"/>
        <v>-29167042.775251456</v>
      </c>
      <c r="R116" s="40">
        <f t="shared" si="40"/>
        <v>-422575.66122044518</v>
      </c>
      <c r="T116" s="97">
        <f t="shared" si="38"/>
        <v>0</v>
      </c>
    </row>
    <row r="117" spans="1:20" x14ac:dyDescent="0.25">
      <c r="A117" s="22"/>
      <c r="B117" s="16"/>
      <c r="C117" s="134"/>
      <c r="D117" s="21"/>
      <c r="E117" s="21"/>
      <c r="F117" s="23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T117" s="97">
        <f t="shared" si="38"/>
        <v>0</v>
      </c>
    </row>
    <row r="118" spans="1:20" x14ac:dyDescent="0.25">
      <c r="A118" s="22"/>
      <c r="B118" s="20" t="s">
        <v>221</v>
      </c>
      <c r="C118" s="134"/>
      <c r="D118" s="21"/>
      <c r="E118" s="21"/>
      <c r="F118" s="23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T118" s="97">
        <f t="shared" si="38"/>
        <v>0</v>
      </c>
    </row>
    <row r="119" spans="1:20" x14ac:dyDescent="0.25">
      <c r="A119" s="22">
        <v>108.06</v>
      </c>
      <c r="B119" s="16" t="s">
        <v>282</v>
      </c>
      <c r="C119" s="134" t="str">
        <f>INDEX('Alloc Amt'!B:B,MATCH('Rate Base'!D:D,'Alloc Amt'!D:D,0))</f>
        <v>Total General Plant</v>
      </c>
      <c r="D119" s="21">
        <v>70</v>
      </c>
      <c r="E119" s="21"/>
      <c r="F119" s="23">
        <v>-185099491.55969805</v>
      </c>
      <c r="G119" s="39">
        <f t="shared" ref="G119:R120" si="41">INDEX(Alloc,($D119),(G$1))*$F119</f>
        <v>-111147059.24403848</v>
      </c>
      <c r="H119" s="39">
        <f t="shared" si="41"/>
        <v>-22516679.251170784</v>
      </c>
      <c r="I119" s="39">
        <f t="shared" si="41"/>
        <v>-20555537.882588174</v>
      </c>
      <c r="J119" s="39">
        <f t="shared" si="41"/>
        <v>-12090881.992127839</v>
      </c>
      <c r="K119" s="39">
        <f t="shared" si="41"/>
        <v>-8939606.4283855576</v>
      </c>
      <c r="L119" s="39">
        <f t="shared" si="41"/>
        <v>-50437.552832123314</v>
      </c>
      <c r="M119" s="39">
        <f t="shared" si="41"/>
        <v>-1102550.7682062187</v>
      </c>
      <c r="N119" s="39">
        <f t="shared" si="41"/>
        <v>-1142158.5851578363</v>
      </c>
      <c r="O119" s="39">
        <f t="shared" si="41"/>
        <v>-3129935.2742520333</v>
      </c>
      <c r="P119" s="39">
        <f t="shared" si="41"/>
        <v>-1792683.477397297</v>
      </c>
      <c r="Q119" s="39">
        <f t="shared" si="41"/>
        <v>-2580016.4262553835</v>
      </c>
      <c r="R119" s="39">
        <f t="shared" si="41"/>
        <v>-51944.677286308353</v>
      </c>
      <c r="T119" s="97">
        <f t="shared" si="38"/>
        <v>0</v>
      </c>
    </row>
    <row r="120" spans="1:20" x14ac:dyDescent="0.25">
      <c r="A120" s="22">
        <v>108.07</v>
      </c>
      <c r="B120" s="16" t="s">
        <v>283</v>
      </c>
      <c r="C120" s="134" t="str">
        <f>INDEX('Alloc Amt'!B:B,MATCH('Rate Base'!D:D,'Alloc Amt'!D:D,0))</f>
        <v>Total Prod, Trans, Dist &amp; Gen Plant</v>
      </c>
      <c r="D120" s="21">
        <v>74</v>
      </c>
      <c r="E120" s="21"/>
      <c r="F120" s="23">
        <v>14858618.090523999</v>
      </c>
      <c r="G120" s="39">
        <f t="shared" si="41"/>
        <v>8477733.6532853823</v>
      </c>
      <c r="H120" s="39">
        <f t="shared" si="41"/>
        <v>1864994.5696667251</v>
      </c>
      <c r="I120" s="39">
        <f t="shared" si="41"/>
        <v>1836307.2214202133</v>
      </c>
      <c r="J120" s="39">
        <f t="shared" si="41"/>
        <v>1076179.3385681051</v>
      </c>
      <c r="K120" s="39">
        <f t="shared" si="41"/>
        <v>789815.58459084097</v>
      </c>
      <c r="L120" s="39">
        <f t="shared" si="41"/>
        <v>4511.9375467632017</v>
      </c>
      <c r="M120" s="39">
        <f t="shared" si="41"/>
        <v>98328.994976936898</v>
      </c>
      <c r="N120" s="39">
        <f t="shared" si="41"/>
        <v>101987.59712999161</v>
      </c>
      <c r="O120" s="39">
        <f t="shared" si="41"/>
        <v>280434.22006649984</v>
      </c>
      <c r="P120" s="39">
        <f t="shared" si="41"/>
        <v>168589.1243810615</v>
      </c>
      <c r="Q120" s="39">
        <f t="shared" si="41"/>
        <v>155068.92399566312</v>
      </c>
      <c r="R120" s="39">
        <f t="shared" si="41"/>
        <v>4666.9248958144144</v>
      </c>
      <c r="T120" s="97">
        <f t="shared" si="38"/>
        <v>0</v>
      </c>
    </row>
    <row r="121" spans="1:20" x14ac:dyDescent="0.25">
      <c r="A121" s="25"/>
      <c r="B121" s="24" t="s">
        <v>188</v>
      </c>
      <c r="C121" s="135"/>
      <c r="D121" s="26"/>
      <c r="E121" s="26"/>
      <c r="F121" s="27">
        <f>SUM(F119:F120)</f>
        <v>-170240873.46917406</v>
      </c>
      <c r="G121" s="40">
        <f t="shared" ref="G121:R121" si="42">SUM(G119:G120)</f>
        <v>-102669325.59075309</v>
      </c>
      <c r="H121" s="40">
        <f t="shared" si="42"/>
        <v>-20651684.68150406</v>
      </c>
      <c r="I121" s="40">
        <f t="shared" si="42"/>
        <v>-18719230.661167961</v>
      </c>
      <c r="J121" s="40">
        <f t="shared" si="42"/>
        <v>-11014702.653559735</v>
      </c>
      <c r="K121" s="40">
        <f t="shared" si="42"/>
        <v>-8149790.8437947165</v>
      </c>
      <c r="L121" s="40">
        <f t="shared" si="42"/>
        <v>-45925.615285360109</v>
      </c>
      <c r="M121" s="40">
        <f t="shared" si="42"/>
        <v>-1004221.7732292819</v>
      </c>
      <c r="N121" s="40">
        <f t="shared" si="42"/>
        <v>-1040170.9880278447</v>
      </c>
      <c r="O121" s="40">
        <f t="shared" si="42"/>
        <v>-2849501.0541855334</v>
      </c>
      <c r="P121" s="40">
        <f t="shared" si="42"/>
        <v>-1624094.3530162356</v>
      </c>
      <c r="Q121" s="40">
        <f t="shared" si="42"/>
        <v>-2424947.5022597206</v>
      </c>
      <c r="R121" s="40">
        <f t="shared" si="42"/>
        <v>-47277.752390493937</v>
      </c>
      <c r="T121" s="97">
        <f t="shared" si="38"/>
        <v>0</v>
      </c>
    </row>
    <row r="122" spans="1:20" x14ac:dyDescent="0.25">
      <c r="A122" s="22"/>
      <c r="B122" s="16"/>
      <c r="C122" s="134"/>
      <c r="D122" s="21"/>
      <c r="E122" s="21"/>
      <c r="F122" s="23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T122" s="97">
        <f t="shared" si="38"/>
        <v>0</v>
      </c>
    </row>
    <row r="123" spans="1:20" x14ac:dyDescent="0.25">
      <c r="A123" s="22"/>
      <c r="B123" s="20" t="s">
        <v>284</v>
      </c>
      <c r="C123" s="134"/>
      <c r="D123" s="21"/>
      <c r="E123" s="21"/>
      <c r="F123" s="23">
        <f t="shared" ref="F123:R123" si="43">F79+F85+F92+F116+F121</f>
        <v>-4292153131.7526517</v>
      </c>
      <c r="G123" s="41">
        <f t="shared" si="43"/>
        <v>-2457525693.5105414</v>
      </c>
      <c r="H123" s="41">
        <f t="shared" si="43"/>
        <v>-535674781.81451708</v>
      </c>
      <c r="I123" s="41">
        <f t="shared" si="43"/>
        <v>-533121712.13071495</v>
      </c>
      <c r="J123" s="41">
        <f t="shared" si="43"/>
        <v>-318492607.23862869</v>
      </c>
      <c r="K123" s="41">
        <f t="shared" si="43"/>
        <v>-227380863.46864656</v>
      </c>
      <c r="L123" s="41">
        <f t="shared" si="43"/>
        <v>-1288715.2063420375</v>
      </c>
      <c r="M123" s="41">
        <f t="shared" si="43"/>
        <v>-26432130.327185836</v>
      </c>
      <c r="N123" s="41">
        <f t="shared" si="43"/>
        <v>-26173657.796454236</v>
      </c>
      <c r="O123" s="41">
        <f t="shared" si="43"/>
        <v>-84850740.934910193</v>
      </c>
      <c r="P123" s="41">
        <f t="shared" si="43"/>
        <v>-36889325.616147317</v>
      </c>
      <c r="Q123" s="41">
        <f t="shared" si="43"/>
        <v>-43035933.76252427</v>
      </c>
      <c r="R123" s="41">
        <f t="shared" si="43"/>
        <v>-1286969.9460390673</v>
      </c>
      <c r="T123" s="97">
        <f t="shared" si="38"/>
        <v>0</v>
      </c>
    </row>
    <row r="124" spans="1:20" x14ac:dyDescent="0.25">
      <c r="A124" s="22"/>
      <c r="B124" s="20"/>
      <c r="C124" s="134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97">
        <f t="shared" si="38"/>
        <v>0</v>
      </c>
    </row>
    <row r="125" spans="1:20" x14ac:dyDescent="0.25">
      <c r="A125" s="22"/>
      <c r="B125" s="20" t="s">
        <v>285</v>
      </c>
      <c r="C125" s="134"/>
      <c r="D125" s="21"/>
      <c r="E125" s="21"/>
      <c r="F125" s="23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T125" s="97">
        <f t="shared" si="38"/>
        <v>0</v>
      </c>
    </row>
    <row r="126" spans="1:20" x14ac:dyDescent="0.25">
      <c r="A126" s="22"/>
      <c r="B126" s="16" t="s">
        <v>286</v>
      </c>
      <c r="C126" s="134"/>
      <c r="D126" s="21"/>
      <c r="E126" s="21"/>
      <c r="F126" s="23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T126" s="97">
        <f t="shared" si="38"/>
        <v>0</v>
      </c>
    </row>
    <row r="127" spans="1:20" x14ac:dyDescent="0.25">
      <c r="A127" s="22" t="s">
        <v>287</v>
      </c>
      <c r="B127" s="16" t="s">
        <v>288</v>
      </c>
      <c r="C127" s="134" t="str">
        <f>INDEX('Alloc Amt'!B:B,MATCH('Rate Base'!D:D,'Alloc Amt'!D:D,0))</f>
        <v>Total Elec Plant In Service</v>
      </c>
      <c r="D127" s="21">
        <v>69</v>
      </c>
      <c r="E127" s="21"/>
      <c r="F127" s="23">
        <v>137375215.95577019</v>
      </c>
      <c r="G127" s="39">
        <f t="shared" ref="G127:R127" si="44">INDEX(Alloc,($D127),(G$1))*$F127</f>
        <v>78495468.722109452</v>
      </c>
      <c r="H127" s="39">
        <f t="shared" si="44"/>
        <v>17231867.352553777</v>
      </c>
      <c r="I127" s="39">
        <f t="shared" si="44"/>
        <v>16936065.131190553</v>
      </c>
      <c r="J127" s="39">
        <f t="shared" si="44"/>
        <v>9928406.0532757472</v>
      </c>
      <c r="K127" s="39">
        <f t="shared" si="44"/>
        <v>7287093.4347944381</v>
      </c>
      <c r="L127" s="39">
        <f t="shared" si="44"/>
        <v>41600.212794302926</v>
      </c>
      <c r="M127" s="39">
        <f t="shared" si="44"/>
        <v>906450.4441647752</v>
      </c>
      <c r="N127" s="39">
        <f t="shared" si="44"/>
        <v>936606.87783324707</v>
      </c>
      <c r="O127" s="39">
        <f t="shared" si="44"/>
        <v>2587399.9392695986</v>
      </c>
      <c r="P127" s="39">
        <f t="shared" si="44"/>
        <v>1534860.0844292769</v>
      </c>
      <c r="Q127" s="39">
        <f t="shared" si="44"/>
        <v>1446371.8109375141</v>
      </c>
      <c r="R127" s="39">
        <f t="shared" si="44"/>
        <v>43025.892417493902</v>
      </c>
      <c r="T127" s="97">
        <f t="shared" si="38"/>
        <v>0</v>
      </c>
    </row>
    <row r="128" spans="1:20" x14ac:dyDescent="0.25">
      <c r="A128" s="25"/>
      <c r="B128" s="24" t="s">
        <v>188</v>
      </c>
      <c r="C128" s="135"/>
      <c r="D128" s="26"/>
      <c r="E128" s="26"/>
      <c r="F128" s="27">
        <f>SUM(F127)</f>
        <v>137375215.95577019</v>
      </c>
      <c r="G128" s="27">
        <f t="shared" ref="G128:R128" si="45">SUM(G127)</f>
        <v>78495468.722109452</v>
      </c>
      <c r="H128" s="27">
        <f t="shared" si="45"/>
        <v>17231867.352553777</v>
      </c>
      <c r="I128" s="27">
        <f t="shared" si="45"/>
        <v>16936065.131190553</v>
      </c>
      <c r="J128" s="27">
        <f t="shared" si="45"/>
        <v>9928406.0532757472</v>
      </c>
      <c r="K128" s="27">
        <f t="shared" si="45"/>
        <v>7287093.4347944381</v>
      </c>
      <c r="L128" s="27">
        <f t="shared" si="45"/>
        <v>41600.212794302926</v>
      </c>
      <c r="M128" s="27">
        <f t="shared" si="45"/>
        <v>906450.4441647752</v>
      </c>
      <c r="N128" s="27">
        <f t="shared" si="45"/>
        <v>936606.87783324707</v>
      </c>
      <c r="O128" s="27">
        <f t="shared" si="45"/>
        <v>2587399.9392695986</v>
      </c>
      <c r="P128" s="27">
        <f t="shared" si="45"/>
        <v>1534860.0844292769</v>
      </c>
      <c r="Q128" s="27">
        <f t="shared" si="45"/>
        <v>1446371.8109375141</v>
      </c>
      <c r="R128" s="27">
        <f t="shared" si="45"/>
        <v>43025.892417493902</v>
      </c>
      <c r="T128" s="97">
        <f t="shared" si="38"/>
        <v>0</v>
      </c>
    </row>
    <row r="129" spans="1:20" x14ac:dyDescent="0.25">
      <c r="A129" s="22"/>
      <c r="B129" s="16"/>
      <c r="C129" s="134"/>
      <c r="D129" s="21"/>
      <c r="E129" s="21"/>
      <c r="F129" s="23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T129" s="97">
        <f t="shared" si="38"/>
        <v>0</v>
      </c>
    </row>
    <row r="130" spans="1:20" x14ac:dyDescent="0.25">
      <c r="A130" s="22"/>
      <c r="B130" s="20" t="s">
        <v>289</v>
      </c>
      <c r="C130" s="134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97">
        <f t="shared" si="38"/>
        <v>0</v>
      </c>
    </row>
    <row r="131" spans="1:20" x14ac:dyDescent="0.25">
      <c r="A131" s="22">
        <v>182.01</v>
      </c>
      <c r="B131" s="16" t="s">
        <v>290</v>
      </c>
      <c r="C131" s="134" t="str">
        <f>INDEX('Alloc Amt'!B:B,MATCH('Rate Base'!D:D,'Alloc Amt'!D:D,0))</f>
        <v>Total Production Plant</v>
      </c>
      <c r="D131" s="21">
        <v>73</v>
      </c>
      <c r="E131" s="21"/>
      <c r="F131" s="23">
        <v>189792533.49183738</v>
      </c>
      <c r="G131" s="113">
        <f t="shared" ref="G131:R146" si="46">INDEX(Alloc,($D131),(G$1))*$F131</f>
        <v>96637162.247552127</v>
      </c>
      <c r="H131" s="113">
        <f t="shared" si="46"/>
        <v>25455690.507014673</v>
      </c>
      <c r="I131" s="113">
        <f t="shared" si="46"/>
        <v>28394085.801861711</v>
      </c>
      <c r="J131" s="113">
        <f t="shared" si="46"/>
        <v>18811889.261775233</v>
      </c>
      <c r="K131" s="113">
        <f t="shared" si="46"/>
        <v>12946471.6414761</v>
      </c>
      <c r="L131" s="113">
        <f t="shared" si="46"/>
        <v>47203.014564768258</v>
      </c>
      <c r="M131" s="113">
        <f t="shared" si="46"/>
        <v>991985.19581218576</v>
      </c>
      <c r="N131" s="113">
        <f t="shared" si="46"/>
        <v>0</v>
      </c>
      <c r="O131" s="113">
        <f t="shared" si="46"/>
        <v>5725136.7178692296</v>
      </c>
      <c r="P131" s="113">
        <f t="shared" si="46"/>
        <v>0</v>
      </c>
      <c r="Q131" s="113">
        <f t="shared" si="46"/>
        <v>720773.61014452169</v>
      </c>
      <c r="R131" s="113">
        <f t="shared" si="46"/>
        <v>62135.493766812921</v>
      </c>
      <c r="T131" s="97">
        <f t="shared" si="38"/>
        <v>0</v>
      </c>
    </row>
    <row r="132" spans="1:20" x14ac:dyDescent="0.25">
      <c r="A132" s="22">
        <v>182.02</v>
      </c>
      <c r="B132" s="16" t="s">
        <v>291</v>
      </c>
      <c r="C132" s="134" t="str">
        <f>INDEX('Alloc Amt'!B:B,MATCH('Rate Base'!D:D,'Alloc Amt'!D:D,0))</f>
        <v>Total Transmission Plant</v>
      </c>
      <c r="D132" s="21">
        <v>82</v>
      </c>
      <c r="E132" s="21"/>
      <c r="F132" s="23">
        <v>282930</v>
      </c>
      <c r="G132" s="113">
        <f t="shared" si="46"/>
        <v>134739.61132557032</v>
      </c>
      <c r="H132" s="113">
        <f t="shared" si="46"/>
        <v>34687.990539770406</v>
      </c>
      <c r="I132" s="113">
        <f t="shared" si="46"/>
        <v>38632.690861062198</v>
      </c>
      <c r="J132" s="113">
        <f t="shared" si="46"/>
        <v>25240.316274860532</v>
      </c>
      <c r="K132" s="113">
        <f t="shared" si="46"/>
        <v>17500.728115403846</v>
      </c>
      <c r="L132" s="113">
        <f t="shared" si="46"/>
        <v>56.989379394925606</v>
      </c>
      <c r="M132" s="113">
        <f t="shared" si="46"/>
        <v>1410.1438699037392</v>
      </c>
      <c r="N132" s="113">
        <f t="shared" si="46"/>
        <v>3255.0984449074726</v>
      </c>
      <c r="O132" s="113">
        <f t="shared" si="46"/>
        <v>7687.0493885600972</v>
      </c>
      <c r="P132" s="113">
        <f t="shared" si="46"/>
        <v>18701.305273240872</v>
      </c>
      <c r="Q132" s="113">
        <f t="shared" si="46"/>
        <v>930.4251999249849</v>
      </c>
      <c r="R132" s="113">
        <f t="shared" si="46"/>
        <v>87.651327400616353</v>
      </c>
      <c r="T132" s="97">
        <f t="shared" si="38"/>
        <v>0</v>
      </c>
    </row>
    <row r="133" spans="1:20" x14ac:dyDescent="0.25">
      <c r="A133" s="22">
        <v>182.03</v>
      </c>
      <c r="B133" s="16" t="s">
        <v>292</v>
      </c>
      <c r="C133" s="134" t="str">
        <f>INDEX('Alloc Amt'!B:B,MATCH('Rate Base'!D:D,'Alloc Amt'!D:D,0))</f>
        <v>Total Distribution Plant</v>
      </c>
      <c r="D133" s="21">
        <v>68</v>
      </c>
      <c r="E133" s="21"/>
      <c r="F133" s="23">
        <v>-3679667.3302051304</v>
      </c>
      <c r="G133" s="113">
        <f t="shared" si="46"/>
        <v>-2446656.6075007757</v>
      </c>
      <c r="H133" s="113">
        <f t="shared" si="46"/>
        <v>-436178.36362836423</v>
      </c>
      <c r="I133" s="113">
        <f t="shared" si="46"/>
        <v>-346299.5399212559</v>
      </c>
      <c r="J133" s="113">
        <f t="shared" si="46"/>
        <v>-147465.10479993484</v>
      </c>
      <c r="K133" s="113">
        <f t="shared" si="46"/>
        <v>-129945.24515702782</v>
      </c>
      <c r="L133" s="113">
        <f t="shared" si="46"/>
        <v>-1481.8297137822483</v>
      </c>
      <c r="M133" s="113">
        <f t="shared" si="46"/>
        <v>-32145.145043179662</v>
      </c>
      <c r="N133" s="113">
        <f t="shared" si="46"/>
        <v>-44243.364519890478</v>
      </c>
      <c r="O133" s="113">
        <f t="shared" si="46"/>
        <v>-16861.288629307564</v>
      </c>
      <c r="P133" s="113">
        <f t="shared" si="46"/>
        <v>-5825.648419958784</v>
      </c>
      <c r="Q133" s="113">
        <f t="shared" si="46"/>
        <v>-71436.067965629263</v>
      </c>
      <c r="R133" s="113">
        <f t="shared" si="46"/>
        <v>-1129.1249060231642</v>
      </c>
      <c r="T133" s="97">
        <f t="shared" si="38"/>
        <v>0</v>
      </c>
    </row>
    <row r="134" spans="1:20" x14ac:dyDescent="0.25">
      <c r="A134" s="22">
        <v>182.04</v>
      </c>
      <c r="B134" s="16" t="s">
        <v>293</v>
      </c>
      <c r="C134" s="134" t="str">
        <f>INDEX('Alloc Amt'!B:B,MATCH('Rate Base'!D:D,'Alloc Amt'!D:D,0))</f>
        <v>Total General Plant</v>
      </c>
      <c r="D134" s="21">
        <v>70</v>
      </c>
      <c r="E134" s="21"/>
      <c r="F134" s="23">
        <v>68510052.721862912</v>
      </c>
      <c r="G134" s="113">
        <f t="shared" si="46"/>
        <v>41138367.396504797</v>
      </c>
      <c r="H134" s="113">
        <f t="shared" si="46"/>
        <v>8333998.4870864097</v>
      </c>
      <c r="I134" s="113">
        <f t="shared" si="46"/>
        <v>7608129.942421671</v>
      </c>
      <c r="J134" s="113">
        <f t="shared" si="46"/>
        <v>4475144.4520707596</v>
      </c>
      <c r="K134" s="113">
        <f t="shared" si="46"/>
        <v>3308776.8235380142</v>
      </c>
      <c r="L134" s="113">
        <f t="shared" si="46"/>
        <v>18668.2274196094</v>
      </c>
      <c r="M134" s="113">
        <f t="shared" si="46"/>
        <v>408082.21903719701</v>
      </c>
      <c r="N134" s="113">
        <f t="shared" si="46"/>
        <v>422742.08441385615</v>
      </c>
      <c r="O134" s="113">
        <f t="shared" si="46"/>
        <v>1158469.0419631267</v>
      </c>
      <c r="P134" s="113">
        <f t="shared" si="46"/>
        <v>663517.97357849916</v>
      </c>
      <c r="Q134" s="113">
        <f t="shared" si="46"/>
        <v>954930.02112877881</v>
      </c>
      <c r="R134" s="113">
        <f t="shared" si="46"/>
        <v>19226.052700190063</v>
      </c>
      <c r="T134" s="97">
        <f t="shared" si="38"/>
        <v>0</v>
      </c>
    </row>
    <row r="135" spans="1:20" x14ac:dyDescent="0.25">
      <c r="A135" s="22">
        <v>282</v>
      </c>
      <c r="B135" s="16" t="s">
        <v>294</v>
      </c>
      <c r="C135" s="134" t="str">
        <f>INDEX('Alloc Amt'!B:B,MATCH('Rate Base'!D:D,'Alloc Amt'!D:D,0))</f>
        <v>Total Production Plant</v>
      </c>
      <c r="D135" s="21">
        <v>73</v>
      </c>
      <c r="E135" s="21"/>
      <c r="F135" s="23">
        <v>-14559444.715643</v>
      </c>
      <c r="G135" s="113">
        <f t="shared" si="46"/>
        <v>-7413270.6663108524</v>
      </c>
      <c r="H135" s="113">
        <f t="shared" si="46"/>
        <v>-1952767.6448417197</v>
      </c>
      <c r="I135" s="113">
        <f t="shared" si="46"/>
        <v>-2178179.0615130235</v>
      </c>
      <c r="J135" s="113">
        <f t="shared" si="46"/>
        <v>-1443105.5672450582</v>
      </c>
      <c r="K135" s="113">
        <f t="shared" si="46"/>
        <v>-993155.18191772234</v>
      </c>
      <c r="L135" s="113">
        <f t="shared" si="46"/>
        <v>-3621.0575217227506</v>
      </c>
      <c r="M135" s="113">
        <f t="shared" si="46"/>
        <v>-76097.585882033498</v>
      </c>
      <c r="N135" s="113">
        <f t="shared" si="46"/>
        <v>0</v>
      </c>
      <c r="O135" s="113">
        <f t="shared" si="46"/>
        <v>-439189.09769387631</v>
      </c>
      <c r="P135" s="113">
        <f t="shared" si="46"/>
        <v>0</v>
      </c>
      <c r="Q135" s="113">
        <f t="shared" si="46"/>
        <v>-55292.288565424067</v>
      </c>
      <c r="R135" s="113">
        <f t="shared" si="46"/>
        <v>-4766.56415156606</v>
      </c>
      <c r="T135" s="97">
        <f t="shared" si="38"/>
        <v>0</v>
      </c>
    </row>
    <row r="136" spans="1:20" s="71" customFormat="1" x14ac:dyDescent="0.25">
      <c r="A136" s="22">
        <v>282.01</v>
      </c>
      <c r="B136" s="16" t="s">
        <v>295</v>
      </c>
      <c r="C136" s="134" t="str">
        <f>INDEX('Alloc Amt'!B:B,MATCH('Rate Base'!D:D,'Alloc Amt'!D:D,0))</f>
        <v>Total Transmission Plant</v>
      </c>
      <c r="D136" s="21">
        <v>82</v>
      </c>
      <c r="E136" s="21"/>
      <c r="F136" s="112">
        <v>10200176.612901218</v>
      </c>
      <c r="G136" s="113">
        <f t="shared" si="46"/>
        <v>4857624.9682765435</v>
      </c>
      <c r="H136" s="113">
        <f t="shared" si="46"/>
        <v>1250569.5043024947</v>
      </c>
      <c r="I136" s="113">
        <f t="shared" si="46"/>
        <v>1392783.6207346313</v>
      </c>
      <c r="J136" s="113">
        <f t="shared" si="46"/>
        <v>909962.47753529984</v>
      </c>
      <c r="K136" s="113">
        <f t="shared" si="46"/>
        <v>630935.27597457008</v>
      </c>
      <c r="L136" s="113">
        <f t="shared" si="46"/>
        <v>2054.5779340751237</v>
      </c>
      <c r="M136" s="113">
        <f t="shared" si="46"/>
        <v>50838.428313074393</v>
      </c>
      <c r="N136" s="113">
        <f t="shared" si="46"/>
        <v>117352.62796605636</v>
      </c>
      <c r="O136" s="113">
        <f t="shared" si="46"/>
        <v>277133.07671652816</v>
      </c>
      <c r="P136" s="113">
        <f t="shared" si="46"/>
        <v>674218.41684811714</v>
      </c>
      <c r="Q136" s="113">
        <f t="shared" si="46"/>
        <v>33543.637522810488</v>
      </c>
      <c r="R136" s="113">
        <f t="shared" si="46"/>
        <v>3160.0007770173352</v>
      </c>
      <c r="T136" s="97">
        <f t="shared" si="38"/>
        <v>0</v>
      </c>
    </row>
    <row r="137" spans="1:20" s="71" customFormat="1" x14ac:dyDescent="0.25">
      <c r="A137" s="22">
        <v>282.02</v>
      </c>
      <c r="B137" s="16" t="s">
        <v>296</v>
      </c>
      <c r="C137" s="134" t="str">
        <f>INDEX('Alloc Amt'!B:B,MATCH('Rate Base'!D:D,'Alloc Amt'!D:D,0))</f>
        <v>Prod Trans Dist Allocation Factor</v>
      </c>
      <c r="D137" s="21">
        <v>75</v>
      </c>
      <c r="E137" s="21"/>
      <c r="F137" s="23">
        <v>-1386885625.7545435</v>
      </c>
      <c r="G137" s="114">
        <f t="shared" si="46"/>
        <v>-789011060.74967241</v>
      </c>
      <c r="H137" s="114">
        <f t="shared" si="46"/>
        <v>-174372672.2312777</v>
      </c>
      <c r="I137" s="114">
        <f t="shared" si="46"/>
        <v>-172358487.58905438</v>
      </c>
      <c r="J137" s="114">
        <f t="shared" si="46"/>
        <v>-100993493.45006685</v>
      </c>
      <c r="K137" s="114">
        <f t="shared" si="46"/>
        <v>-74092522.222562656</v>
      </c>
      <c r="L137" s="114">
        <f t="shared" si="46"/>
        <v>-423525.56129837065</v>
      </c>
      <c r="M137" s="114">
        <f t="shared" si="46"/>
        <v>-9228533.9190790579</v>
      </c>
      <c r="N137" s="114">
        <f t="shared" si="46"/>
        <v>-9572492.6694989149</v>
      </c>
      <c r="O137" s="114">
        <f t="shared" si="46"/>
        <v>-26325786.282280087</v>
      </c>
      <c r="P137" s="114">
        <f t="shared" si="46"/>
        <v>-15863113.755156839</v>
      </c>
      <c r="Q137" s="114">
        <f t="shared" si="46"/>
        <v>-14205770.187195191</v>
      </c>
      <c r="R137" s="114">
        <f t="shared" si="46"/>
        <v>-438167.13740103436</v>
      </c>
      <c r="T137" s="97">
        <f t="shared" si="38"/>
        <v>0</v>
      </c>
    </row>
    <row r="138" spans="1:20" x14ac:dyDescent="0.25">
      <c r="A138" s="22">
        <v>235</v>
      </c>
      <c r="B138" s="16" t="s">
        <v>34</v>
      </c>
      <c r="C138" s="134" t="str">
        <f>INDEX('Alloc Amt'!B:B,MATCH('Rate Base'!D:D,'Alloc Amt'!D:D,0))</f>
        <v>Customer Deposits</v>
      </c>
      <c r="D138" s="21">
        <v>9</v>
      </c>
      <c r="E138" s="21"/>
      <c r="F138" s="23">
        <v>-25836611.384475</v>
      </c>
      <c r="G138" s="113">
        <f t="shared" si="46"/>
        <v>-23095250.799047243</v>
      </c>
      <c r="H138" s="113">
        <f t="shared" si="46"/>
        <v>-1864887.860734801</v>
      </c>
      <c r="I138" s="113">
        <f t="shared" si="46"/>
        <v>-638245.470833336</v>
      </c>
      <c r="J138" s="113">
        <f t="shared" si="46"/>
        <v>-169525.96587746224</v>
      </c>
      <c r="K138" s="113">
        <f t="shared" si="46"/>
        <v>-57586.220566097596</v>
      </c>
      <c r="L138" s="113">
        <f t="shared" si="46"/>
        <v>0</v>
      </c>
      <c r="M138" s="113">
        <f t="shared" si="46"/>
        <v>0</v>
      </c>
      <c r="N138" s="113">
        <f t="shared" si="46"/>
        <v>0</v>
      </c>
      <c r="O138" s="113">
        <f t="shared" si="46"/>
        <v>0</v>
      </c>
      <c r="P138" s="113">
        <f t="shared" si="46"/>
        <v>0</v>
      </c>
      <c r="Q138" s="113">
        <f t="shared" si="46"/>
        <v>-11115.0674160617</v>
      </c>
      <c r="R138" s="113">
        <f t="shared" si="46"/>
        <v>0</v>
      </c>
      <c r="T138" s="97">
        <f t="shared" si="38"/>
        <v>0</v>
      </c>
    </row>
    <row r="139" spans="1:20" s="76" customFormat="1" x14ac:dyDescent="0.25">
      <c r="A139" s="72">
        <v>235.01</v>
      </c>
      <c r="B139" s="73" t="s">
        <v>297</v>
      </c>
      <c r="C139" s="134" t="str">
        <f>INDEX('Alloc Amt'!B:B,MATCH('Rate Base'!D:D,'Alloc Amt'!D:D,0))</f>
        <v>Total Transmission Plant</v>
      </c>
      <c r="D139" s="74">
        <v>82</v>
      </c>
      <c r="E139" s="74"/>
      <c r="F139" s="75">
        <v>-2995643.46</v>
      </c>
      <c r="G139" s="113">
        <f t="shared" si="46"/>
        <v>-1426613.7753875046</v>
      </c>
      <c r="H139" s="113">
        <f t="shared" si="46"/>
        <v>-367274.06779417204</v>
      </c>
      <c r="I139" s="113">
        <f t="shared" si="46"/>
        <v>-409040.28459386679</v>
      </c>
      <c r="J139" s="113">
        <f t="shared" si="46"/>
        <v>-267242.73981945182</v>
      </c>
      <c r="K139" s="113">
        <f t="shared" si="46"/>
        <v>-185296.51052962802</v>
      </c>
      <c r="L139" s="113">
        <f t="shared" si="46"/>
        <v>-603.39964540298888</v>
      </c>
      <c r="M139" s="113">
        <f t="shared" si="46"/>
        <v>-14930.506703199473</v>
      </c>
      <c r="N139" s="113">
        <f t="shared" si="46"/>
        <v>-34464.759368547842</v>
      </c>
      <c r="O139" s="113">
        <f t="shared" si="46"/>
        <v>-81389.95238234564</v>
      </c>
      <c r="P139" s="113">
        <f t="shared" si="46"/>
        <v>-198008.13924026271</v>
      </c>
      <c r="Q139" s="113">
        <f t="shared" si="46"/>
        <v>-9851.2782849979612</v>
      </c>
      <c r="R139" s="113">
        <f t="shared" si="46"/>
        <v>-928.04625062020693</v>
      </c>
      <c r="T139" s="97">
        <f t="shared" si="38"/>
        <v>0</v>
      </c>
    </row>
    <row r="140" spans="1:20" s="76" customFormat="1" x14ac:dyDescent="0.25">
      <c r="A140" s="72">
        <v>252</v>
      </c>
      <c r="B140" s="73" t="s">
        <v>36</v>
      </c>
      <c r="C140" s="134" t="str">
        <f>INDEX('Alloc Amt'!B:B,MATCH('Rate Base'!D:D,'Alloc Amt'!D:D,0))</f>
        <v>Customer Advances</v>
      </c>
      <c r="D140" s="74">
        <v>10</v>
      </c>
      <c r="E140" s="74"/>
      <c r="F140" s="75">
        <v>-79258524.650000006</v>
      </c>
      <c r="G140" s="113">
        <f t="shared" si="46"/>
        <v>-33974849.983845964</v>
      </c>
      <c r="H140" s="113">
        <f t="shared" si="46"/>
        <v>-42161069.125409625</v>
      </c>
      <c r="I140" s="113">
        <f t="shared" si="46"/>
        <v>-2830663.0729111028</v>
      </c>
      <c r="J140" s="113">
        <f t="shared" si="46"/>
        <v>-291942.46783331066</v>
      </c>
      <c r="K140" s="113">
        <f t="shared" si="46"/>
        <v>0</v>
      </c>
      <c r="L140" s="113">
        <f t="shared" si="46"/>
        <v>0</v>
      </c>
      <c r="M140" s="113">
        <f t="shared" si="46"/>
        <v>0</v>
      </c>
      <c r="N140" s="113">
        <f t="shared" si="46"/>
        <v>0</v>
      </c>
      <c r="O140" s="113">
        <f t="shared" si="46"/>
        <v>0</v>
      </c>
      <c r="P140" s="113">
        <f t="shared" si="46"/>
        <v>0</v>
      </c>
      <c r="Q140" s="113">
        <f t="shared" si="46"/>
        <v>0</v>
      </c>
      <c r="R140" s="113">
        <f t="shared" si="46"/>
        <v>0</v>
      </c>
      <c r="T140" s="97">
        <f t="shared" si="38"/>
        <v>0</v>
      </c>
    </row>
    <row r="141" spans="1:20" x14ac:dyDescent="0.25">
      <c r="A141" s="22">
        <v>253</v>
      </c>
      <c r="B141" s="16" t="s">
        <v>298</v>
      </c>
      <c r="C141" s="134" t="str">
        <f>INDEX('Alloc Amt'!B:B,MATCH('Rate Base'!D:D,'Alloc Amt'!D:D,0))</f>
        <v>Salary &amp; Wages - Total</v>
      </c>
      <c r="D141" s="21">
        <v>78</v>
      </c>
      <c r="E141" s="21"/>
      <c r="F141" s="23">
        <v>-2132461.9750080002</v>
      </c>
      <c r="G141" s="113">
        <f t="shared" ref="G141:R151" si="47">INDEX(Alloc,($D141),(G$1))*$F141</f>
        <v>-1283870.9141186303</v>
      </c>
      <c r="H141" s="113">
        <f t="shared" si="47"/>
        <v>-258928.76230080615</v>
      </c>
      <c r="I141" s="113">
        <f t="shared" si="47"/>
        <v>-235324.33711574573</v>
      </c>
      <c r="J141" s="113">
        <f t="shared" si="47"/>
        <v>-138474.34140200561</v>
      </c>
      <c r="K141" s="113">
        <f t="shared" si="47"/>
        <v>-102422.08988302491</v>
      </c>
      <c r="L141" s="113">
        <f t="shared" si="47"/>
        <v>-577.02985358095339</v>
      </c>
      <c r="M141" s="113">
        <f t="shared" si="47"/>
        <v>-12617.737864011611</v>
      </c>
      <c r="N141" s="113">
        <f t="shared" si="47"/>
        <v>-13086.769464721705</v>
      </c>
      <c r="O141" s="113">
        <f t="shared" si="47"/>
        <v>-35841.392991715191</v>
      </c>
      <c r="P141" s="113">
        <f t="shared" si="47"/>
        <v>-20594.158626055723</v>
      </c>
      <c r="Q141" s="113">
        <f t="shared" si="47"/>
        <v>-30130.076330924348</v>
      </c>
      <c r="R141" s="113">
        <f t="shared" si="47"/>
        <v>-594.36505677778064</v>
      </c>
      <c r="T141" s="97">
        <f t="shared" si="38"/>
        <v>0</v>
      </c>
    </row>
    <row r="142" spans="1:20" x14ac:dyDescent="0.25">
      <c r="A142" s="22">
        <v>114.01</v>
      </c>
      <c r="B142" s="16" t="s">
        <v>299</v>
      </c>
      <c r="C142" s="134" t="str">
        <f>INDEX('Alloc Amt'!B:B,MATCH('Rate Base'!D:D,'Alloc Amt'!D:D,0))</f>
        <v>Total Production Plant</v>
      </c>
      <c r="D142" s="21">
        <v>73</v>
      </c>
      <c r="E142" s="21"/>
      <c r="F142" s="23">
        <v>380941956.83829999</v>
      </c>
      <c r="G142" s="113">
        <f t="shared" si="47"/>
        <v>193965215.66253322</v>
      </c>
      <c r="H142" s="113">
        <f t="shared" si="47"/>
        <v>51093372.199646421</v>
      </c>
      <c r="I142" s="113">
        <f t="shared" si="47"/>
        <v>56991170.353184558</v>
      </c>
      <c r="J142" s="113">
        <f t="shared" si="47"/>
        <v>37758270.967568204</v>
      </c>
      <c r="K142" s="113">
        <f t="shared" si="47"/>
        <v>25985501.908417135</v>
      </c>
      <c r="L142" s="113">
        <f t="shared" si="47"/>
        <v>94743.499157425758</v>
      </c>
      <c r="M142" s="113">
        <f t="shared" si="47"/>
        <v>1991062.4232410623</v>
      </c>
      <c r="N142" s="113">
        <f t="shared" si="47"/>
        <v>0</v>
      </c>
      <c r="O142" s="113">
        <f t="shared" si="47"/>
        <v>11491204.339530589</v>
      </c>
      <c r="P142" s="113">
        <f t="shared" si="47"/>
        <v>0</v>
      </c>
      <c r="Q142" s="113">
        <f t="shared" si="47"/>
        <v>1446700.270206725</v>
      </c>
      <c r="R142" s="113">
        <f t="shared" si="47"/>
        <v>124715.21481461075</v>
      </c>
      <c r="T142" s="97">
        <f t="shared" si="38"/>
        <v>0</v>
      </c>
    </row>
    <row r="143" spans="1:20" s="71" customFormat="1" x14ac:dyDescent="0.25">
      <c r="A143" s="22">
        <v>114.02</v>
      </c>
      <c r="B143" s="16" t="s">
        <v>300</v>
      </c>
      <c r="C143" s="134" t="str">
        <f>INDEX('Alloc Amt'!B:B,MATCH('Rate Base'!D:D,'Alloc Amt'!D:D,0))</f>
        <v>Total Transmission Plant</v>
      </c>
      <c r="D143" s="21">
        <v>82</v>
      </c>
      <c r="E143" s="21"/>
      <c r="F143" s="115">
        <v>946172.25</v>
      </c>
      <c r="G143" s="113">
        <f t="shared" si="47"/>
        <v>450595.13382122916</v>
      </c>
      <c r="H143" s="113">
        <f t="shared" si="47"/>
        <v>116003.3013713402</v>
      </c>
      <c r="I143" s="113">
        <f t="shared" si="47"/>
        <v>129195.13673193248</v>
      </c>
      <c r="J143" s="113">
        <f t="shared" si="47"/>
        <v>84408.464427584229</v>
      </c>
      <c r="K143" s="113">
        <f t="shared" si="47"/>
        <v>58525.795417912261</v>
      </c>
      <c r="L143" s="113">
        <f t="shared" si="47"/>
        <v>190.58342815608242</v>
      </c>
      <c r="M143" s="113">
        <f t="shared" si="47"/>
        <v>4715.7918856626311</v>
      </c>
      <c r="N143" s="113">
        <f t="shared" si="47"/>
        <v>10885.674264268917</v>
      </c>
      <c r="O143" s="113">
        <f t="shared" si="47"/>
        <v>25706.969270968195</v>
      </c>
      <c r="P143" s="113">
        <f t="shared" si="47"/>
        <v>62540.755976104272</v>
      </c>
      <c r="Q143" s="113">
        <f t="shared" si="47"/>
        <v>3111.5205346542352</v>
      </c>
      <c r="R143" s="113">
        <f t="shared" si="47"/>
        <v>293.12287018742381</v>
      </c>
      <c r="T143" s="97">
        <f t="shared" si="38"/>
        <v>0</v>
      </c>
    </row>
    <row r="144" spans="1:20" x14ac:dyDescent="0.25">
      <c r="A144" s="22">
        <v>114.03</v>
      </c>
      <c r="B144" s="16" t="s">
        <v>301</v>
      </c>
      <c r="C144" s="134" t="str">
        <f>INDEX('Alloc Amt'!B:B,MATCH('Rate Base'!D:D,'Alloc Amt'!D:D,0))</f>
        <v>Total Distribution Plant</v>
      </c>
      <c r="D144" s="21">
        <v>68</v>
      </c>
      <c r="E144" s="21"/>
      <c r="F144" s="23">
        <v>302358.00999999995</v>
      </c>
      <c r="G144" s="113">
        <f t="shared" si="47"/>
        <v>201041.60420285759</v>
      </c>
      <c r="H144" s="113">
        <f t="shared" si="47"/>
        <v>35840.745968841846</v>
      </c>
      <c r="I144" s="113">
        <f t="shared" si="47"/>
        <v>28455.40924175594</v>
      </c>
      <c r="J144" s="113">
        <f t="shared" si="47"/>
        <v>12117.197461234662</v>
      </c>
      <c r="K144" s="113">
        <f t="shared" si="47"/>
        <v>10677.59180622743</v>
      </c>
      <c r="L144" s="113">
        <f t="shared" si="47"/>
        <v>121.7618450831785</v>
      </c>
      <c r="M144" s="113">
        <f t="shared" si="47"/>
        <v>2641.3643447151894</v>
      </c>
      <c r="N144" s="113">
        <f t="shared" si="47"/>
        <v>3635.4742022814717</v>
      </c>
      <c r="O144" s="113">
        <f t="shared" si="47"/>
        <v>1385.4909203731893</v>
      </c>
      <c r="P144" s="113">
        <f t="shared" si="47"/>
        <v>478.693127707332</v>
      </c>
      <c r="Q144" s="113">
        <f t="shared" si="47"/>
        <v>5869.8967634958226</v>
      </c>
      <c r="R144" s="113">
        <f t="shared" si="47"/>
        <v>92.780115426241224</v>
      </c>
      <c r="T144" s="97">
        <f t="shared" si="38"/>
        <v>0</v>
      </c>
    </row>
    <row r="145" spans="1:20" x14ac:dyDescent="0.25">
      <c r="A145" s="22">
        <v>115.01</v>
      </c>
      <c r="B145" s="16" t="s">
        <v>302</v>
      </c>
      <c r="C145" s="134" t="str">
        <f>INDEX('Alloc Amt'!B:B,MATCH('Rate Base'!D:D,'Alloc Amt'!D:D,0))</f>
        <v>Total Production Plant</v>
      </c>
      <c r="D145" s="21">
        <v>73</v>
      </c>
      <c r="E145" s="21"/>
      <c r="F145" s="23">
        <v>-136832371.41</v>
      </c>
      <c r="G145" s="113">
        <f t="shared" si="47"/>
        <v>-69671297.565740034</v>
      </c>
      <c r="H145" s="113">
        <f t="shared" si="47"/>
        <v>-18352473.797941305</v>
      </c>
      <c r="I145" s="113">
        <f t="shared" si="47"/>
        <v>-20470932.248000395</v>
      </c>
      <c r="J145" s="113">
        <f t="shared" si="47"/>
        <v>-13562574.728482274</v>
      </c>
      <c r="K145" s="113">
        <f t="shared" si="47"/>
        <v>-9333857.2572017368</v>
      </c>
      <c r="L145" s="113">
        <f t="shared" si="47"/>
        <v>-34031.372582292839</v>
      </c>
      <c r="M145" s="113">
        <f t="shared" si="47"/>
        <v>-715179.27628292236</v>
      </c>
      <c r="N145" s="113">
        <f t="shared" si="47"/>
        <v>0</v>
      </c>
      <c r="O145" s="113">
        <f t="shared" si="47"/>
        <v>-4127580.8870858592</v>
      </c>
      <c r="P145" s="113">
        <f t="shared" si="47"/>
        <v>0</v>
      </c>
      <c r="Q145" s="113">
        <f t="shared" si="47"/>
        <v>-519647.21957865328</v>
      </c>
      <c r="R145" s="113">
        <f t="shared" si="47"/>
        <v>-44797.057104514315</v>
      </c>
      <c r="T145" s="97">
        <f t="shared" si="38"/>
        <v>0</v>
      </c>
    </row>
    <row r="146" spans="1:20" s="71" customFormat="1" x14ac:dyDescent="0.25">
      <c r="A146" s="22">
        <v>115.02</v>
      </c>
      <c r="B146" s="16" t="s">
        <v>303</v>
      </c>
      <c r="C146" s="134" t="str">
        <f>INDEX('Alloc Amt'!B:B,MATCH('Rate Base'!D:D,'Alloc Amt'!D:D,0))</f>
        <v>Total Transmission Plant</v>
      </c>
      <c r="D146" s="21">
        <v>82</v>
      </c>
      <c r="E146" s="37"/>
      <c r="F146" s="112">
        <v>-951189</v>
      </c>
      <c r="G146" s="113">
        <f t="shared" si="47"/>
        <v>-452984.2581456824</v>
      </c>
      <c r="H146" s="113">
        <f t="shared" si="47"/>
        <v>-116618.36861956553</v>
      </c>
      <c r="I146" s="113">
        <f t="shared" si="47"/>
        <v>-129880.14910911847</v>
      </c>
      <c r="J146" s="113">
        <f t="shared" si="47"/>
        <v>-84856.011017454191</v>
      </c>
      <c r="K146" s="113">
        <f t="shared" si="47"/>
        <v>-58836.108137570671</v>
      </c>
      <c r="L146" s="113">
        <f t="shared" si="47"/>
        <v>-191.59393064461136</v>
      </c>
      <c r="M146" s="113">
        <f t="shared" si="47"/>
        <v>-4740.7957355878407</v>
      </c>
      <c r="N146" s="113">
        <f t="shared" si="47"/>
        <v>-10943.39177433674</v>
      </c>
      <c r="O146" s="113">
        <f t="shared" si="47"/>
        <v>-25843.271554289364</v>
      </c>
      <c r="P146" s="113">
        <f t="shared" si="47"/>
        <v>-62872.356630787515</v>
      </c>
      <c r="Q146" s="113">
        <f t="shared" si="47"/>
        <v>-3128.018292480283</v>
      </c>
      <c r="R146" s="113">
        <f t="shared" si="47"/>
        <v>-294.6770524824687</v>
      </c>
      <c r="T146" s="97">
        <f t="shared" si="38"/>
        <v>0</v>
      </c>
    </row>
    <row r="147" spans="1:20" x14ac:dyDescent="0.25">
      <c r="A147" s="22">
        <v>115.03</v>
      </c>
      <c r="B147" s="16" t="s">
        <v>304</v>
      </c>
      <c r="C147" s="134" t="str">
        <f>INDEX('Alloc Amt'!B:B,MATCH('Rate Base'!D:D,'Alloc Amt'!D:D,0))</f>
        <v>Total Distribution Plant</v>
      </c>
      <c r="D147" s="21">
        <v>68</v>
      </c>
      <c r="E147" s="21"/>
      <c r="F147" s="23">
        <v>-302358.00999999995</v>
      </c>
      <c r="G147" s="113">
        <f t="shared" si="47"/>
        <v>-201041.60420285759</v>
      </c>
      <c r="H147" s="113">
        <f t="shared" si="47"/>
        <v>-35840.745968841846</v>
      </c>
      <c r="I147" s="113">
        <f t="shared" si="47"/>
        <v>-28455.40924175594</v>
      </c>
      <c r="J147" s="113">
        <f t="shared" si="47"/>
        <v>-12117.197461234662</v>
      </c>
      <c r="K147" s="113">
        <f t="shared" si="47"/>
        <v>-10677.59180622743</v>
      </c>
      <c r="L147" s="113">
        <f t="shared" si="47"/>
        <v>-121.7618450831785</v>
      </c>
      <c r="M147" s="113">
        <f t="shared" si="47"/>
        <v>-2641.3643447151894</v>
      </c>
      <c r="N147" s="113">
        <f t="shared" si="47"/>
        <v>-3635.4742022814717</v>
      </c>
      <c r="O147" s="113">
        <f t="shared" si="47"/>
        <v>-1385.4909203731893</v>
      </c>
      <c r="P147" s="113">
        <f t="shared" si="47"/>
        <v>-478.693127707332</v>
      </c>
      <c r="Q147" s="113">
        <f t="shared" si="47"/>
        <v>-5869.8967634958226</v>
      </c>
      <c r="R147" s="113">
        <f t="shared" si="47"/>
        <v>-92.780115426241224</v>
      </c>
      <c r="T147" s="97">
        <f t="shared" si="38"/>
        <v>0</v>
      </c>
    </row>
    <row r="148" spans="1:20" x14ac:dyDescent="0.25">
      <c r="A148" s="22">
        <v>230</v>
      </c>
      <c r="B148" s="16" t="s">
        <v>305</v>
      </c>
      <c r="C148" s="134" t="str">
        <f>INDEX('Alloc Amt'!B:B,MATCH('Rate Base'!D:D,'Alloc Amt'!D:D,0))</f>
        <v>Total Production Plant</v>
      </c>
      <c r="D148" s="21">
        <v>73</v>
      </c>
      <c r="E148" s="21"/>
      <c r="F148" s="23">
        <v>-154752983.34</v>
      </c>
      <c r="G148" s="113">
        <f t="shared" si="47"/>
        <v>-78795982.561471492</v>
      </c>
      <c r="H148" s="113">
        <f t="shared" si="47"/>
        <v>-20756053.86820795</v>
      </c>
      <c r="I148" s="113">
        <f t="shared" si="47"/>
        <v>-23151961.809071992</v>
      </c>
      <c r="J148" s="113">
        <f t="shared" si="47"/>
        <v>-15338833.050809307</v>
      </c>
      <c r="K148" s="113">
        <f t="shared" si="47"/>
        <v>-10556290.457713399</v>
      </c>
      <c r="L148" s="113">
        <f t="shared" si="47"/>
        <v>-38488.380929134524</v>
      </c>
      <c r="M148" s="113">
        <f t="shared" si="47"/>
        <v>-808844.61394079076</v>
      </c>
      <c r="N148" s="113">
        <f t="shared" si="47"/>
        <v>0</v>
      </c>
      <c r="O148" s="113">
        <f t="shared" si="47"/>
        <v>-4668160.3897644561</v>
      </c>
      <c r="P148" s="113">
        <f t="shared" si="47"/>
        <v>0</v>
      </c>
      <c r="Q148" s="113">
        <f t="shared" si="47"/>
        <v>-587704.1864104945</v>
      </c>
      <c r="R148" s="113">
        <f t="shared" si="47"/>
        <v>-50664.021680978432</v>
      </c>
      <c r="T148" s="97">
        <f t="shared" si="38"/>
        <v>0</v>
      </c>
    </row>
    <row r="149" spans="1:20" s="76" customFormat="1" x14ac:dyDescent="0.25">
      <c r="A149" s="72">
        <v>230.01</v>
      </c>
      <c r="B149" s="73" t="s">
        <v>306</v>
      </c>
      <c r="C149" s="134" t="str">
        <f>INDEX('Alloc Amt'!B:B,MATCH('Rate Base'!D:D,'Alloc Amt'!D:D,0))</f>
        <v>Total Transmission Plant</v>
      </c>
      <c r="D149" s="74">
        <v>82</v>
      </c>
      <c r="E149" s="77"/>
      <c r="F149" s="116">
        <v>-4532108.43</v>
      </c>
      <c r="G149" s="113">
        <f t="shared" si="47"/>
        <v>-2158323.7137933085</v>
      </c>
      <c r="H149" s="113">
        <f t="shared" si="47"/>
        <v>-555648.86843054369</v>
      </c>
      <c r="I149" s="113">
        <f t="shared" si="47"/>
        <v>-618836.97001026373</v>
      </c>
      <c r="J149" s="113">
        <f t="shared" si="47"/>
        <v>-404311.49105842999</v>
      </c>
      <c r="K149" s="113">
        <f t="shared" si="47"/>
        <v>-280335.05610207393</v>
      </c>
      <c r="L149" s="113">
        <f t="shared" si="47"/>
        <v>-912.88321060407395</v>
      </c>
      <c r="M149" s="113">
        <f t="shared" si="47"/>
        <v>-22588.360797029509</v>
      </c>
      <c r="N149" s="113">
        <f t="shared" si="47"/>
        <v>-52141.727998604059</v>
      </c>
      <c r="O149" s="113">
        <f t="shared" si="47"/>
        <v>-123134.84372713942</v>
      </c>
      <c r="P149" s="113">
        <f t="shared" si="47"/>
        <v>-299566.47679941473</v>
      </c>
      <c r="Q149" s="113">
        <f t="shared" si="47"/>
        <v>-14903.997073708899</v>
      </c>
      <c r="R149" s="113">
        <f t="shared" si="47"/>
        <v>-1404.0409988796639</v>
      </c>
      <c r="T149" s="97">
        <f t="shared" si="38"/>
        <v>0</v>
      </c>
    </row>
    <row r="150" spans="1:20" x14ac:dyDescent="0.25">
      <c r="A150" s="22">
        <v>230.02</v>
      </c>
      <c r="B150" s="16" t="s">
        <v>307</v>
      </c>
      <c r="C150" s="134" t="str">
        <f>INDEX('Alloc Amt'!B:B,MATCH('Rate Base'!D:D,'Alloc Amt'!D:D,0))</f>
        <v>Total Distribution Plant</v>
      </c>
      <c r="D150" s="21">
        <v>68</v>
      </c>
      <c r="E150" s="21"/>
      <c r="F150" s="23">
        <v>-8852463.3499999996</v>
      </c>
      <c r="G150" s="113">
        <f t="shared" si="47"/>
        <v>-5886113.0652070474</v>
      </c>
      <c r="H150" s="113">
        <f t="shared" si="47"/>
        <v>-1049348.3871184122</v>
      </c>
      <c r="I150" s="113">
        <f t="shared" si="47"/>
        <v>-833119.87475342816</v>
      </c>
      <c r="J150" s="113">
        <f t="shared" si="47"/>
        <v>-354768.33053072717</v>
      </c>
      <c r="K150" s="113">
        <f t="shared" si="47"/>
        <v>-312619.43459307938</v>
      </c>
      <c r="L150" s="113">
        <f t="shared" si="47"/>
        <v>-3564.9535827650657</v>
      </c>
      <c r="M150" s="113">
        <f t="shared" si="47"/>
        <v>-77334.088339806127</v>
      </c>
      <c r="N150" s="113">
        <f t="shared" si="47"/>
        <v>-106439.72069920429</v>
      </c>
      <c r="O150" s="113">
        <f t="shared" si="47"/>
        <v>-40564.520167206509</v>
      </c>
      <c r="P150" s="113">
        <f t="shared" si="47"/>
        <v>-14015.217817202945</v>
      </c>
      <c r="Q150" s="113">
        <f t="shared" si="47"/>
        <v>-171859.33313666933</v>
      </c>
      <c r="R150" s="113">
        <f t="shared" si="47"/>
        <v>-2716.4240544497898</v>
      </c>
      <c r="T150" s="97">
        <f t="shared" si="38"/>
        <v>0</v>
      </c>
    </row>
    <row r="151" spans="1:20" x14ac:dyDescent="0.25">
      <c r="A151" s="22">
        <v>230.03</v>
      </c>
      <c r="B151" s="16" t="s">
        <v>308</v>
      </c>
      <c r="C151" s="134" t="str">
        <f>INDEX('Alloc Amt'!B:B,MATCH('Rate Base'!D:D,'Alloc Amt'!D:D,0))</f>
        <v>Total General Plant</v>
      </c>
      <c r="D151" s="21">
        <v>70</v>
      </c>
      <c r="E151" s="21"/>
      <c r="F151" s="23">
        <v>-455842.46420599998</v>
      </c>
      <c r="G151" s="113">
        <f t="shared" si="47"/>
        <v>-273720.62963615532</v>
      </c>
      <c r="H151" s="113">
        <f t="shared" si="47"/>
        <v>-55451.576171831082</v>
      </c>
      <c r="I151" s="113">
        <f t="shared" si="47"/>
        <v>-50621.895082065894</v>
      </c>
      <c r="J151" s="113">
        <f t="shared" si="47"/>
        <v>-29776.080935035578</v>
      </c>
      <c r="K151" s="113">
        <f t="shared" si="47"/>
        <v>-22015.469567255892</v>
      </c>
      <c r="L151" s="113">
        <f t="shared" si="47"/>
        <v>-124.21200176068658</v>
      </c>
      <c r="M151" s="113">
        <f t="shared" si="47"/>
        <v>-2715.2395441845206</v>
      </c>
      <c r="N151" s="113">
        <f t="shared" si="47"/>
        <v>-2812.781275546989</v>
      </c>
      <c r="O151" s="113">
        <f t="shared" si="47"/>
        <v>-7708.0568736201703</v>
      </c>
      <c r="P151" s="113">
        <f t="shared" si="47"/>
        <v>-4414.8217101644968</v>
      </c>
      <c r="Q151" s="113">
        <f t="shared" si="47"/>
        <v>-6353.7778279466729</v>
      </c>
      <c r="R151" s="113">
        <f t="shared" si="47"/>
        <v>-127.92358043263154</v>
      </c>
      <c r="T151" s="97">
        <f t="shared" si="38"/>
        <v>0</v>
      </c>
    </row>
    <row r="152" spans="1:20" x14ac:dyDescent="0.25">
      <c r="A152" s="25"/>
      <c r="B152" s="24" t="s">
        <v>188</v>
      </c>
      <c r="C152" s="135"/>
      <c r="D152" s="26"/>
      <c r="E152" s="26"/>
      <c r="F152" s="27">
        <f t="shared" ref="F152:R152" si="48">SUM(F131:F151)</f>
        <v>-1171051115.3491793</v>
      </c>
      <c r="G152" s="117">
        <f t="shared" si="48"/>
        <v>-678706290.26986349</v>
      </c>
      <c r="H152" s="117">
        <f t="shared" si="48"/>
        <v>-176015050.93251574</v>
      </c>
      <c r="I152" s="117">
        <f t="shared" si="48"/>
        <v>-129697594.75617443</v>
      </c>
      <c r="J152" s="117">
        <f t="shared" si="48"/>
        <v>-71161453.390225366</v>
      </c>
      <c r="K152" s="117">
        <f t="shared" si="48"/>
        <v>-53177169.080992125</v>
      </c>
      <c r="L152" s="117">
        <f t="shared" si="48"/>
        <v>-344205.38238663174</v>
      </c>
      <c r="M152" s="117">
        <f t="shared" si="48"/>
        <v>-7547633.0670527201</v>
      </c>
      <c r="N152" s="117">
        <f t="shared" si="48"/>
        <v>-9282389.6995106749</v>
      </c>
      <c r="O152" s="117">
        <f t="shared" si="48"/>
        <v>-17206722.788410895</v>
      </c>
      <c r="P152" s="117">
        <f t="shared" si="48"/>
        <v>-15049432.122724723</v>
      </c>
      <c r="Q152" s="117">
        <f t="shared" si="48"/>
        <v>-12527202.013340766</v>
      </c>
      <c r="R152" s="117">
        <f t="shared" si="48"/>
        <v>-335971.84598153981</v>
      </c>
      <c r="T152" s="97">
        <f t="shared" si="38"/>
        <v>0</v>
      </c>
    </row>
    <row r="153" spans="1:20" x14ac:dyDescent="0.25">
      <c r="A153" s="22"/>
      <c r="B153" s="16"/>
      <c r="C153" s="134"/>
      <c r="D153" s="21"/>
      <c r="E153" s="21"/>
      <c r="F153" s="2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T153" s="97">
        <f t="shared" si="38"/>
        <v>0</v>
      </c>
    </row>
    <row r="154" spans="1:20" x14ac:dyDescent="0.25">
      <c r="A154" s="25"/>
      <c r="B154" s="24" t="s">
        <v>309</v>
      </c>
      <c r="C154" s="135"/>
      <c r="D154" s="26"/>
      <c r="E154" s="26"/>
      <c r="F154" s="27">
        <f t="shared" ref="F154:R154" si="49">F128+F152</f>
        <v>-1033675899.393409</v>
      </c>
      <c r="G154" s="117">
        <f t="shared" si="49"/>
        <v>-600210821.54775405</v>
      </c>
      <c r="H154" s="117">
        <f t="shared" si="49"/>
        <v>-158783183.57996196</v>
      </c>
      <c r="I154" s="117">
        <f t="shared" si="49"/>
        <v>-112761529.62498388</v>
      </c>
      <c r="J154" s="117">
        <f t="shared" si="49"/>
        <v>-61233047.336949617</v>
      </c>
      <c r="K154" s="117">
        <f t="shared" si="49"/>
        <v>-45890075.646197684</v>
      </c>
      <c r="L154" s="117">
        <f t="shared" si="49"/>
        <v>-302605.16959232884</v>
      </c>
      <c r="M154" s="117">
        <f t="shared" si="49"/>
        <v>-6641182.6228879448</v>
      </c>
      <c r="N154" s="117">
        <f t="shared" si="49"/>
        <v>-8345782.8216774277</v>
      </c>
      <c r="O154" s="117">
        <f t="shared" si="49"/>
        <v>-14619322.849141296</v>
      </c>
      <c r="P154" s="117">
        <f t="shared" si="49"/>
        <v>-13514572.038295446</v>
      </c>
      <c r="Q154" s="117">
        <f t="shared" si="49"/>
        <v>-11080830.202403251</v>
      </c>
      <c r="R154" s="117">
        <f t="shared" si="49"/>
        <v>-292945.95356404589</v>
      </c>
      <c r="T154" s="97">
        <f t="shared" si="38"/>
        <v>0</v>
      </c>
    </row>
    <row r="155" spans="1:20" x14ac:dyDescent="0.25">
      <c r="A155" s="22"/>
      <c r="B155" s="16"/>
      <c r="C155" s="134"/>
      <c r="D155" s="21"/>
      <c r="E155" s="21"/>
      <c r="F155" s="2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T155" s="97">
        <f t="shared" si="38"/>
        <v>0</v>
      </c>
    </row>
    <row r="156" spans="1:20" ht="15.75" thickBot="1" x14ac:dyDescent="0.3">
      <c r="A156" s="29"/>
      <c r="B156" s="28" t="s">
        <v>310</v>
      </c>
      <c r="C156" s="137"/>
      <c r="D156" s="30"/>
      <c r="E156" s="30"/>
      <c r="F156" s="31">
        <f t="shared" ref="F156:R156" si="50">SUM(F154,F123,F72)</f>
        <v>5428588079.6691399</v>
      </c>
      <c r="G156" s="118">
        <f t="shared" si="50"/>
        <v>3087280299.461628</v>
      </c>
      <c r="H156" s="118">
        <f t="shared" si="50"/>
        <v>654538560.78581882</v>
      </c>
      <c r="I156" s="118">
        <f t="shared" si="50"/>
        <v>679956411.12170279</v>
      </c>
      <c r="J156" s="118">
        <f t="shared" si="50"/>
        <v>397519492.59017634</v>
      </c>
      <c r="K156" s="118">
        <f t="shared" si="50"/>
        <v>297199081.82761019</v>
      </c>
      <c r="L156" s="118">
        <f t="shared" si="50"/>
        <v>1665351.7768697233</v>
      </c>
      <c r="M156" s="118">
        <f t="shared" si="50"/>
        <v>37888149.050250292</v>
      </c>
      <c r="N156" s="118">
        <f t="shared" si="50"/>
        <v>38802817.425270468</v>
      </c>
      <c r="O156" s="118">
        <f t="shared" si="50"/>
        <v>103084509.00265945</v>
      </c>
      <c r="P156" s="118">
        <f t="shared" si="50"/>
        <v>69752605.393443108</v>
      </c>
      <c r="Q156" s="118">
        <f t="shared" si="50"/>
        <v>59112435.668544054</v>
      </c>
      <c r="R156" s="118">
        <f t="shared" si="50"/>
        <v>1788365.5651682976</v>
      </c>
      <c r="T156" s="97">
        <f t="shared" si="38"/>
        <v>0</v>
      </c>
    </row>
    <row r="157" spans="1:20" ht="15.75" thickTop="1" x14ac:dyDescent="0.25">
      <c r="A157" s="22"/>
      <c r="B157" s="16"/>
      <c r="C157" s="134"/>
      <c r="D157" s="21"/>
      <c r="E157" s="21"/>
      <c r="F157" s="2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T157" s="97">
        <f t="shared" si="38"/>
        <v>0</v>
      </c>
    </row>
    <row r="158" spans="1:20" x14ac:dyDescent="0.25">
      <c r="A158" s="22"/>
      <c r="B158" s="16"/>
      <c r="C158" s="134"/>
      <c r="D158" s="21"/>
      <c r="E158" s="21"/>
      <c r="F158" s="2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T158" s="97">
        <f t="shared" si="38"/>
        <v>0</v>
      </c>
    </row>
    <row r="159" spans="1:20" x14ac:dyDescent="0.25">
      <c r="A159" s="22"/>
      <c r="B159" s="16"/>
      <c r="C159" s="134"/>
      <c r="D159" s="21"/>
      <c r="E159" s="21"/>
      <c r="F159" s="23"/>
      <c r="G159" s="113"/>
      <c r="H159" s="113">
        <f>H156-651816598</f>
        <v>2721962.7858188152</v>
      </c>
      <c r="I159" s="113">
        <f>I156-674855962</f>
        <v>5100449.1217027903</v>
      </c>
      <c r="J159" s="113"/>
      <c r="K159" s="113"/>
      <c r="L159" s="113"/>
      <c r="M159" s="113"/>
      <c r="N159" s="113"/>
      <c r="O159" s="113"/>
      <c r="P159" s="113"/>
      <c r="Q159" s="113"/>
      <c r="R159" s="113"/>
      <c r="T159" s="97">
        <f t="shared" ref="T159:T166" si="51">F159-SUM(G159:R159)</f>
        <v>-7822411.9075216055</v>
      </c>
    </row>
    <row r="160" spans="1:20" x14ac:dyDescent="0.25">
      <c r="A160" s="22"/>
      <c r="B160" s="16"/>
      <c r="C160" s="134"/>
      <c r="D160" s="21"/>
      <c r="E160" s="21"/>
      <c r="F160" s="23">
        <v>5428588079.6691418</v>
      </c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T160" s="97">
        <f t="shared" si="51"/>
        <v>5428588079.6691418</v>
      </c>
    </row>
    <row r="161" spans="1:20" x14ac:dyDescent="0.25">
      <c r="A161" s="16"/>
      <c r="B161" s="16"/>
      <c r="C161" s="134"/>
      <c r="D161" s="21"/>
      <c r="E161" s="21"/>
      <c r="F161" s="32">
        <v>0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T161" s="97">
        <f t="shared" si="51"/>
        <v>0</v>
      </c>
    </row>
    <row r="162" spans="1:20" x14ac:dyDescent="0.25"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T162" s="97">
        <f t="shared" si="51"/>
        <v>0</v>
      </c>
    </row>
    <row r="163" spans="1:20" x14ac:dyDescent="0.25"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T163" s="97">
        <f t="shared" si="51"/>
        <v>0</v>
      </c>
    </row>
    <row r="164" spans="1:20" x14ac:dyDescent="0.25"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T164" s="97">
        <f t="shared" si="51"/>
        <v>0</v>
      </c>
    </row>
    <row r="165" spans="1:20" x14ac:dyDescent="0.25"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T165" s="97">
        <f t="shared" si="51"/>
        <v>0</v>
      </c>
    </row>
    <row r="166" spans="1:20" x14ac:dyDescent="0.25"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T166" s="97">
        <f t="shared" si="51"/>
        <v>0</v>
      </c>
    </row>
    <row r="167" spans="1:20" x14ac:dyDescent="0.25"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</sheetData>
  <autoFilter ref="D1:D173" xr:uid="{7D987445-CA4F-47C6-883C-99E6F30E977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70"/>
  <sheetViews>
    <sheetView topLeftCell="C1" workbookViewId="0">
      <selection activeCell="L158" sqref="L158:M158"/>
    </sheetView>
  </sheetViews>
  <sheetFormatPr defaultRowHeight="15" x14ac:dyDescent="0.25"/>
  <cols>
    <col min="1" max="1" width="8.7109375" style="19" bestFit="1" customWidth="1"/>
    <col min="2" max="2" width="40.85546875" style="19" bestFit="1" customWidth="1"/>
    <col min="3" max="3" width="42.140625" style="19" customWidth="1"/>
    <col min="4" max="4" width="15" style="19" bestFit="1" customWidth="1"/>
    <col min="5" max="5" width="14.28515625" style="19" bestFit="1" customWidth="1"/>
    <col min="6" max="6" width="16.5703125" style="19" bestFit="1" customWidth="1"/>
    <col min="7" max="7" width="12.5703125" style="19" bestFit="1" customWidth="1"/>
    <col min="8" max="11" width="12.28515625" style="19" bestFit="1" customWidth="1"/>
    <col min="12" max="13" width="12.28515625" style="19" customWidth="1"/>
    <col min="14" max="14" width="10.28515625" style="19" bestFit="1" customWidth="1"/>
    <col min="15" max="15" width="11.5703125" style="19" bestFit="1" customWidth="1"/>
    <col min="16" max="16" width="10.5703125" style="19" bestFit="1" customWidth="1"/>
    <col min="17" max="17" width="11.28515625" style="19" bestFit="1" customWidth="1"/>
    <col min="18" max="18" width="9" style="19" bestFit="1" customWidth="1"/>
    <col min="19" max="19" width="9.140625" style="19"/>
    <col min="20" max="20" width="14.28515625" style="62" bestFit="1" customWidth="1"/>
    <col min="21" max="16384" width="9.140625" style="19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64.5" x14ac:dyDescent="0.25">
      <c r="D7" s="131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62" t="s">
        <v>530</v>
      </c>
    </row>
    <row r="8" spans="1:20" x14ac:dyDescent="0.25">
      <c r="A8" s="47"/>
      <c r="B8" s="35" t="s">
        <v>180</v>
      </c>
      <c r="C8" s="34" t="s">
        <v>181</v>
      </c>
      <c r="D8" s="34" t="s">
        <v>319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44"/>
      <c r="B9" s="44"/>
      <c r="C9" s="4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322</v>
      </c>
      <c r="C10" s="16"/>
      <c r="D10" s="16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20" x14ac:dyDescent="0.25">
      <c r="A11" s="16"/>
      <c r="B11" s="20"/>
      <c r="C11" s="16"/>
      <c r="D11" s="1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20" x14ac:dyDescent="0.25">
      <c r="A12" s="16"/>
      <c r="B12" s="20" t="s">
        <v>323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324</v>
      </c>
      <c r="C14" s="16"/>
      <c r="D14" s="1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x14ac:dyDescent="0.25">
      <c r="A15" s="22" t="s">
        <v>325</v>
      </c>
      <c r="B15" s="16" t="s">
        <v>326</v>
      </c>
      <c r="C15" s="16" t="str">
        <f>INDEX('Alloc Amt'!B:B,MATCH(Expenses!D:D,'Alloc Amt'!D:D,0))</f>
        <v>Time Differentiated Fuel Costs Adj. TY Loads</v>
      </c>
      <c r="D15" s="19">
        <v>91</v>
      </c>
      <c r="E15" s="53"/>
      <c r="F15" s="49">
        <v>37464673.568808615</v>
      </c>
      <c r="G15" s="39">
        <f t="shared" ref="G15:R15" si="8">INDEX(Alloc,($D15),(G$1))*$F15</f>
        <v>18758015.522680424</v>
      </c>
      <c r="H15" s="39">
        <f t="shared" si="8"/>
        <v>5076760.6124479258</v>
      </c>
      <c r="I15" s="39">
        <f t="shared" si="8"/>
        <v>5705084.6431288812</v>
      </c>
      <c r="J15" s="39">
        <f t="shared" si="8"/>
        <v>3828627.0720776371</v>
      </c>
      <c r="K15" s="39">
        <f t="shared" si="8"/>
        <v>2592113.4560710425</v>
      </c>
      <c r="L15" s="39">
        <f t="shared" si="8"/>
        <v>11332.657060542188</v>
      </c>
      <c r="M15" s="39">
        <f t="shared" si="8"/>
        <v>192939.6759165145</v>
      </c>
      <c r="N15" s="39">
        <f t="shared" si="8"/>
        <v>0</v>
      </c>
      <c r="O15" s="39">
        <f t="shared" si="8"/>
        <v>1148053.1563307084</v>
      </c>
      <c r="P15" s="39">
        <f t="shared" si="8"/>
        <v>0</v>
      </c>
      <c r="Q15" s="39">
        <f t="shared" si="8"/>
        <v>140616.57081391083</v>
      </c>
      <c r="R15" s="39">
        <f t="shared" si="8"/>
        <v>11130.202281023518</v>
      </c>
      <c r="T15" s="98">
        <f t="shared" ref="T15:T41" si="9">F15-SUM(G15:R15)</f>
        <v>0</v>
      </c>
    </row>
    <row r="16" spans="1:20" x14ac:dyDescent="0.25">
      <c r="A16" s="22" t="s">
        <v>327</v>
      </c>
      <c r="B16" s="16" t="s">
        <v>328</v>
      </c>
      <c r="C16" s="16" t="str">
        <f>INDEX('Alloc Amt'!B:B,MATCH(Expenses!D:D,'Alloc Amt'!D:D,0))</f>
        <v>Time Differentiated Fuel Costs Adj. TY Loads</v>
      </c>
      <c r="D16" s="19">
        <v>91</v>
      </c>
      <c r="E16" s="53"/>
      <c r="F16" s="49">
        <v>143207932.26523873</v>
      </c>
      <c r="G16" s="39">
        <f t="shared" ref="G16:R16" si="10">INDEX(Alloc,($D16),(G$1))*$F16</f>
        <v>71702122.573378131</v>
      </c>
      <c r="H16" s="39">
        <f t="shared" si="10"/>
        <v>19405811.412689544</v>
      </c>
      <c r="I16" s="39">
        <f t="shared" si="10"/>
        <v>21807566.897389509</v>
      </c>
      <c r="J16" s="39">
        <f t="shared" si="10"/>
        <v>14634847.021953896</v>
      </c>
      <c r="K16" s="39">
        <f t="shared" si="10"/>
        <v>9908299.5494157802</v>
      </c>
      <c r="L16" s="39">
        <f t="shared" si="10"/>
        <v>43318.84493082785</v>
      </c>
      <c r="M16" s="39">
        <f t="shared" si="10"/>
        <v>737507.88163634797</v>
      </c>
      <c r="N16" s="39">
        <f t="shared" si="10"/>
        <v>0</v>
      </c>
      <c r="O16" s="39">
        <f t="shared" si="10"/>
        <v>4388409.2129280474</v>
      </c>
      <c r="P16" s="39">
        <f t="shared" si="10"/>
        <v>0</v>
      </c>
      <c r="Q16" s="39">
        <f t="shared" si="10"/>
        <v>537503.90515224403</v>
      </c>
      <c r="R16" s="39">
        <f t="shared" si="10"/>
        <v>42544.96576439566</v>
      </c>
      <c r="T16" s="98">
        <f t="shared" si="9"/>
        <v>0</v>
      </c>
    </row>
    <row r="17" spans="1:20" x14ac:dyDescent="0.25">
      <c r="A17" s="25"/>
      <c r="B17" s="24" t="s">
        <v>188</v>
      </c>
      <c r="C17" s="24"/>
      <c r="D17" s="54"/>
      <c r="E17" s="55"/>
      <c r="F17" s="50">
        <f t="shared" ref="F17:R17" si="11">SUM(F15:F16)</f>
        <v>180672605.83404735</v>
      </c>
      <c r="G17" s="50">
        <f t="shared" si="11"/>
        <v>90460138.096058547</v>
      </c>
      <c r="H17" s="50">
        <f t="shared" si="11"/>
        <v>24482572.025137469</v>
      </c>
      <c r="I17" s="50">
        <f t="shared" si="11"/>
        <v>27512651.540518388</v>
      </c>
      <c r="J17" s="50">
        <f t="shared" si="11"/>
        <v>18463474.094031531</v>
      </c>
      <c r="K17" s="50">
        <f t="shared" si="11"/>
        <v>12500413.005486824</v>
      </c>
      <c r="L17" s="50">
        <f t="shared" si="11"/>
        <v>54651.501991370038</v>
      </c>
      <c r="M17" s="50">
        <f t="shared" si="11"/>
        <v>930447.55755286245</v>
      </c>
      <c r="N17" s="50">
        <f t="shared" si="11"/>
        <v>0</v>
      </c>
      <c r="O17" s="50">
        <f t="shared" si="11"/>
        <v>5536462.3692587558</v>
      </c>
      <c r="P17" s="50">
        <f t="shared" si="11"/>
        <v>0</v>
      </c>
      <c r="Q17" s="50">
        <f t="shared" si="11"/>
        <v>678120.47596615483</v>
      </c>
      <c r="R17" s="50">
        <f t="shared" si="11"/>
        <v>53675.168045419181</v>
      </c>
      <c r="T17" s="98">
        <f t="shared" si="9"/>
        <v>0</v>
      </c>
    </row>
    <row r="18" spans="1:20" x14ac:dyDescent="0.25">
      <c r="A18" s="22"/>
      <c r="B18" s="16"/>
      <c r="C18" s="16"/>
      <c r="E18" s="48"/>
      <c r="F18" s="49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T18" s="98">
        <f t="shared" si="9"/>
        <v>0</v>
      </c>
    </row>
    <row r="19" spans="1:20" x14ac:dyDescent="0.25">
      <c r="A19" s="22"/>
      <c r="B19" s="20" t="s">
        <v>329</v>
      </c>
      <c r="C19" s="16"/>
      <c r="E19" s="48"/>
      <c r="F19" s="49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T19" s="98">
        <f t="shared" si="9"/>
        <v>0</v>
      </c>
    </row>
    <row r="20" spans="1:20" x14ac:dyDescent="0.25">
      <c r="A20" s="22">
        <v>555</v>
      </c>
      <c r="B20" s="16" t="s">
        <v>330</v>
      </c>
      <c r="C20" s="16" t="str">
        <f>INDEX('Alloc Amt'!B:B,MATCH(Expenses!D:D,'Alloc Amt'!D:D,0))</f>
        <v>Prob. Of Dispatch - Gen. Gross Plt. - TY Loads</v>
      </c>
      <c r="D20" s="19">
        <v>88</v>
      </c>
      <c r="E20" s="53"/>
      <c r="F20" s="49">
        <v>446679558.91286945</v>
      </c>
      <c r="G20" s="39">
        <f t="shared" ref="G20:R20" si="12">INDEX(Alloc,($D20),(G$1))*$F20</f>
        <v>227437002.99034408</v>
      </c>
      <c r="H20" s="39">
        <f t="shared" si="12"/>
        <v>59910347.358237147</v>
      </c>
      <c r="I20" s="39">
        <f t="shared" si="12"/>
        <v>66825904.519870035</v>
      </c>
      <c r="J20" s="39">
        <f t="shared" si="12"/>
        <v>44274062.014820516</v>
      </c>
      <c r="K20" s="39">
        <f t="shared" si="12"/>
        <v>30469714.14468858</v>
      </c>
      <c r="L20" s="39">
        <f t="shared" si="12"/>
        <v>111092.99895643815</v>
      </c>
      <c r="M20" s="39">
        <f t="shared" si="12"/>
        <v>2334651.9568565669</v>
      </c>
      <c r="N20" s="39">
        <f t="shared" si="12"/>
        <v>0</v>
      </c>
      <c r="O20" s="39">
        <f t="shared" si="12"/>
        <v>13474194.673541706</v>
      </c>
      <c r="P20" s="39">
        <f t="shared" si="12"/>
        <v>0</v>
      </c>
      <c r="Q20" s="39">
        <f t="shared" si="12"/>
        <v>1696351.4440321131</v>
      </c>
      <c r="R20" s="39">
        <f t="shared" si="12"/>
        <v>146236.81152234066</v>
      </c>
      <c r="T20" s="98">
        <f t="shared" si="9"/>
        <v>0</v>
      </c>
    </row>
    <row r="21" spans="1:20" x14ac:dyDescent="0.25">
      <c r="A21" s="22">
        <v>555.01</v>
      </c>
      <c r="B21" s="16" t="s">
        <v>331</v>
      </c>
      <c r="C21" s="16" t="s">
        <v>112</v>
      </c>
      <c r="E21" s="48"/>
      <c r="F21" s="49">
        <v>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T21" s="98">
        <f t="shared" si="9"/>
        <v>0</v>
      </c>
    </row>
    <row r="22" spans="1:20" x14ac:dyDescent="0.25">
      <c r="A22" s="25"/>
      <c r="B22" s="24" t="s">
        <v>188</v>
      </c>
      <c r="C22" s="24"/>
      <c r="D22" s="54"/>
      <c r="E22" s="55"/>
      <c r="F22" s="50">
        <f t="shared" ref="F22:R22" si="13">SUM(F20:F21)</f>
        <v>446679558.91286945</v>
      </c>
      <c r="G22" s="50">
        <f t="shared" si="13"/>
        <v>227437002.99034408</v>
      </c>
      <c r="H22" s="50">
        <f t="shared" si="13"/>
        <v>59910347.358237147</v>
      </c>
      <c r="I22" s="50">
        <f t="shared" si="13"/>
        <v>66825904.519870035</v>
      </c>
      <c r="J22" s="50">
        <f t="shared" si="13"/>
        <v>44274062.014820516</v>
      </c>
      <c r="K22" s="50">
        <f t="shared" si="13"/>
        <v>30469714.14468858</v>
      </c>
      <c r="L22" s="50">
        <f t="shared" si="13"/>
        <v>111092.99895643815</v>
      </c>
      <c r="M22" s="50">
        <f t="shared" si="13"/>
        <v>2334651.9568565669</v>
      </c>
      <c r="N22" s="50">
        <f t="shared" si="13"/>
        <v>0</v>
      </c>
      <c r="O22" s="50">
        <f t="shared" si="13"/>
        <v>13474194.673541706</v>
      </c>
      <c r="P22" s="50">
        <f t="shared" si="13"/>
        <v>0</v>
      </c>
      <c r="Q22" s="50">
        <f t="shared" si="13"/>
        <v>1696351.4440321131</v>
      </c>
      <c r="R22" s="50">
        <f t="shared" si="13"/>
        <v>146236.81152234066</v>
      </c>
      <c r="T22" s="98">
        <f t="shared" si="9"/>
        <v>0</v>
      </c>
    </row>
    <row r="23" spans="1:20" x14ac:dyDescent="0.25">
      <c r="A23" s="22"/>
      <c r="B23" s="16"/>
      <c r="C23" s="16"/>
      <c r="E23" s="48"/>
      <c r="F23" s="4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T23" s="98">
        <f t="shared" si="9"/>
        <v>0</v>
      </c>
    </row>
    <row r="24" spans="1:20" x14ac:dyDescent="0.25">
      <c r="A24" s="22"/>
      <c r="B24" s="20" t="s">
        <v>332</v>
      </c>
      <c r="C24" s="16"/>
      <c r="E24" s="48"/>
      <c r="F24" s="4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T24" s="98">
        <f t="shared" si="9"/>
        <v>0</v>
      </c>
    </row>
    <row r="25" spans="1:20" x14ac:dyDescent="0.25">
      <c r="A25" s="22"/>
      <c r="B25" s="16" t="s">
        <v>577</v>
      </c>
      <c r="C25" s="16" t="str">
        <f>INDEX('Alloc Amt'!B:B,MATCH(Expenses!D:D,'Alloc Amt'!D:D,0))</f>
        <v>Prob. Of Dispatch - Gen. Gross Plt. - TY Loads</v>
      </c>
      <c r="D25" s="19">
        <v>88</v>
      </c>
      <c r="E25" s="53"/>
      <c r="F25" s="49">
        <v>112334321.32462588</v>
      </c>
      <c r="G25" s="39">
        <f t="shared" ref="G25:R25" si="14">INDEX(Alloc,($D25),(G$1))*$F25</f>
        <v>57197561.126836479</v>
      </c>
      <c r="H25" s="39">
        <f t="shared" si="14"/>
        <v>15066702.911567379</v>
      </c>
      <c r="I25" s="39">
        <f t="shared" si="14"/>
        <v>16805879.027493522</v>
      </c>
      <c r="J25" s="39">
        <f t="shared" si="14"/>
        <v>11134372.749950273</v>
      </c>
      <c r="K25" s="39">
        <f t="shared" si="14"/>
        <v>7662751.9462259635</v>
      </c>
      <c r="L25" s="39">
        <f t="shared" si="14"/>
        <v>27938.499518674296</v>
      </c>
      <c r="M25" s="39">
        <f t="shared" si="14"/>
        <v>587135.76179976854</v>
      </c>
      <c r="N25" s="39">
        <f t="shared" si="14"/>
        <v>0</v>
      </c>
      <c r="O25" s="39">
        <f t="shared" si="14"/>
        <v>3388591.4048362495</v>
      </c>
      <c r="P25" s="39">
        <f t="shared" si="14"/>
        <v>0</v>
      </c>
      <c r="Q25" s="39">
        <f t="shared" si="14"/>
        <v>426611.16765042604</v>
      </c>
      <c r="R25" s="39">
        <f t="shared" si="14"/>
        <v>36776.728747159308</v>
      </c>
      <c r="T25" s="98">
        <f t="shared" si="9"/>
        <v>0</v>
      </c>
    </row>
    <row r="26" spans="1:20" x14ac:dyDescent="0.25">
      <c r="A26" s="25"/>
      <c r="B26" s="24" t="s">
        <v>188</v>
      </c>
      <c r="C26" s="24"/>
      <c r="D26" s="54"/>
      <c r="E26" s="55"/>
      <c r="F26" s="50">
        <f t="shared" ref="F26:R26" si="15">SUM(F25:F25)</f>
        <v>112334321.32462588</v>
      </c>
      <c r="G26" s="50">
        <f t="shared" si="15"/>
        <v>57197561.126836479</v>
      </c>
      <c r="H26" s="50">
        <f t="shared" si="15"/>
        <v>15066702.911567379</v>
      </c>
      <c r="I26" s="50">
        <f t="shared" si="15"/>
        <v>16805879.027493522</v>
      </c>
      <c r="J26" s="50">
        <f t="shared" si="15"/>
        <v>11134372.749950273</v>
      </c>
      <c r="K26" s="50">
        <f t="shared" si="15"/>
        <v>7662751.9462259635</v>
      </c>
      <c r="L26" s="50">
        <f t="shared" si="15"/>
        <v>27938.499518674296</v>
      </c>
      <c r="M26" s="50">
        <f t="shared" si="15"/>
        <v>587135.76179976854</v>
      </c>
      <c r="N26" s="50">
        <f t="shared" si="15"/>
        <v>0</v>
      </c>
      <c r="O26" s="50">
        <f t="shared" si="15"/>
        <v>3388591.4048362495</v>
      </c>
      <c r="P26" s="50">
        <f t="shared" si="15"/>
        <v>0</v>
      </c>
      <c r="Q26" s="50">
        <f t="shared" si="15"/>
        <v>426611.16765042604</v>
      </c>
      <c r="R26" s="50">
        <f t="shared" si="15"/>
        <v>36776.728747159308</v>
      </c>
      <c r="T26" s="98">
        <f t="shared" si="9"/>
        <v>0</v>
      </c>
    </row>
    <row r="27" spans="1:20" x14ac:dyDescent="0.25">
      <c r="A27" s="22"/>
      <c r="B27" s="16"/>
      <c r="C27" s="16"/>
      <c r="E27" s="48"/>
      <c r="F27" s="49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T27" s="98">
        <f t="shared" si="9"/>
        <v>0</v>
      </c>
    </row>
    <row r="28" spans="1:20" x14ac:dyDescent="0.25">
      <c r="A28" s="22"/>
      <c r="B28" s="132" t="s">
        <v>333</v>
      </c>
      <c r="C28" s="16" t="str">
        <f>INDEX('Alloc Amt'!B:B,MATCH(Expenses!D:D,'Alloc Amt'!D:D,0))</f>
        <v>Prob. Of Dispatch - Gen. Gross Plt. - TY Loads</v>
      </c>
      <c r="D28" s="19">
        <v>88</v>
      </c>
      <c r="E28" s="53"/>
      <c r="F28" s="49">
        <v>109175792.16812748</v>
      </c>
      <c r="G28" s="39">
        <f t="shared" ref="G28:R28" si="16">INDEX(Alloc,($D28),(G$1))*$F28</f>
        <v>55589324.549008787</v>
      </c>
      <c r="H28" s="39">
        <f t="shared" si="16"/>
        <v>14643069.066832053</v>
      </c>
      <c r="I28" s="39">
        <f t="shared" si="16"/>
        <v>16333344.380174769</v>
      </c>
      <c r="J28" s="39">
        <f t="shared" si="16"/>
        <v>10821305.109042831</v>
      </c>
      <c r="K28" s="39">
        <f t="shared" si="16"/>
        <v>7447296.6414199891</v>
      </c>
      <c r="L28" s="39">
        <f t="shared" si="16"/>
        <v>27152.946499098576</v>
      </c>
      <c r="M28" s="39">
        <f t="shared" si="16"/>
        <v>570627.13468919613</v>
      </c>
      <c r="N28" s="39">
        <f t="shared" si="16"/>
        <v>0</v>
      </c>
      <c r="O28" s="39">
        <f t="shared" si="16"/>
        <v>3293313.6248538918</v>
      </c>
      <c r="P28" s="39">
        <f t="shared" si="16"/>
        <v>0</v>
      </c>
      <c r="Q28" s="39">
        <f t="shared" si="16"/>
        <v>414616.04634090414</v>
      </c>
      <c r="R28" s="39">
        <f t="shared" si="16"/>
        <v>35742.669265971424</v>
      </c>
      <c r="T28" s="98">
        <f t="shared" si="9"/>
        <v>0</v>
      </c>
    </row>
    <row r="29" spans="1:20" x14ac:dyDescent="0.25">
      <c r="A29" s="25"/>
      <c r="B29" s="24" t="s">
        <v>188</v>
      </c>
      <c r="C29" s="24"/>
      <c r="D29" s="54"/>
      <c r="E29" s="55"/>
      <c r="F29" s="50">
        <f t="shared" ref="F29:R29" si="17">SUM(F28:F28)</f>
        <v>109175792.16812748</v>
      </c>
      <c r="G29" s="50">
        <f t="shared" si="17"/>
        <v>55589324.549008787</v>
      </c>
      <c r="H29" s="50">
        <f t="shared" si="17"/>
        <v>14643069.066832053</v>
      </c>
      <c r="I29" s="50">
        <f t="shared" si="17"/>
        <v>16333344.380174769</v>
      </c>
      <c r="J29" s="50">
        <f t="shared" si="17"/>
        <v>10821305.109042831</v>
      </c>
      <c r="K29" s="50">
        <f t="shared" si="17"/>
        <v>7447296.6414199891</v>
      </c>
      <c r="L29" s="50">
        <f t="shared" si="17"/>
        <v>27152.946499098576</v>
      </c>
      <c r="M29" s="50">
        <f t="shared" si="17"/>
        <v>570627.13468919613</v>
      </c>
      <c r="N29" s="50">
        <f t="shared" si="17"/>
        <v>0</v>
      </c>
      <c r="O29" s="50">
        <f t="shared" si="17"/>
        <v>3293313.6248538918</v>
      </c>
      <c r="P29" s="50">
        <f t="shared" si="17"/>
        <v>0</v>
      </c>
      <c r="Q29" s="50">
        <f t="shared" si="17"/>
        <v>414616.04634090414</v>
      </c>
      <c r="R29" s="50">
        <f t="shared" si="17"/>
        <v>35742.669265971424</v>
      </c>
      <c r="T29" s="98">
        <f t="shared" si="9"/>
        <v>0</v>
      </c>
    </row>
    <row r="30" spans="1:20" x14ac:dyDescent="0.25">
      <c r="A30" s="21"/>
      <c r="B30" s="16"/>
      <c r="C30" s="16"/>
      <c r="E30" s="48"/>
      <c r="F30" s="49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T30" s="98">
        <f t="shared" si="9"/>
        <v>0</v>
      </c>
    </row>
    <row r="31" spans="1:20" s="56" customFormat="1" x14ac:dyDescent="0.25">
      <c r="A31" s="21"/>
      <c r="B31" s="20" t="s">
        <v>334</v>
      </c>
      <c r="C31" s="16"/>
      <c r="D31" s="62"/>
      <c r="E31" s="63"/>
      <c r="F31" s="4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T31" s="98">
        <f t="shared" si="9"/>
        <v>0</v>
      </c>
    </row>
    <row r="32" spans="1:20" s="56" customFormat="1" x14ac:dyDescent="0.25">
      <c r="A32" s="22">
        <v>565.01</v>
      </c>
      <c r="B32" s="16" t="s">
        <v>335</v>
      </c>
      <c r="C32" s="16" t="str">
        <f>INDEX('Alloc Amt'!B:B,MATCH(Expenses!D:D,'Alloc Amt'!D:D,0))</f>
        <v>Hourly Trans. Gross Plt. - TY Loads</v>
      </c>
      <c r="D32" s="62">
        <v>92</v>
      </c>
      <c r="E32" s="64"/>
      <c r="F32" s="49">
        <v>19056918.888669107</v>
      </c>
      <c r="G32" s="65">
        <f t="shared" ref="G32:R32" si="18">INDEX(Alloc,($D32),(G$1))*$F32</f>
        <v>8893580.5873516686</v>
      </c>
      <c r="H32" s="65">
        <f t="shared" si="18"/>
        <v>2272544.5136114876</v>
      </c>
      <c r="I32" s="65">
        <f t="shared" si="18"/>
        <v>2529688.2897670926</v>
      </c>
      <c r="J32" s="65">
        <f t="shared" si="18"/>
        <v>1645035.195765534</v>
      </c>
      <c r="K32" s="65">
        <f t="shared" si="18"/>
        <v>1143476.8954424658</v>
      </c>
      <c r="L32" s="65">
        <f t="shared" si="18"/>
        <v>3574.4721085854198</v>
      </c>
      <c r="M32" s="65">
        <f t="shared" si="18"/>
        <v>93650.846552992953</v>
      </c>
      <c r="N32" s="65">
        <f t="shared" si="18"/>
        <v>283885.52368308196</v>
      </c>
      <c r="O32" s="65">
        <f t="shared" si="18"/>
        <v>501124.14327002259</v>
      </c>
      <c r="P32" s="65">
        <f t="shared" si="18"/>
        <v>1624718.7282981661</v>
      </c>
      <c r="Q32" s="65">
        <f t="shared" si="18"/>
        <v>59832.643015591064</v>
      </c>
      <c r="R32" s="65">
        <f t="shared" si="18"/>
        <v>5807.0498024205535</v>
      </c>
      <c r="T32" s="98">
        <f t="shared" si="9"/>
        <v>0</v>
      </c>
    </row>
    <row r="33" spans="1:20" s="56" customFormat="1" ht="14.25" customHeight="1" x14ac:dyDescent="0.25">
      <c r="A33" s="22"/>
      <c r="B33" s="13"/>
      <c r="C33" s="16"/>
      <c r="D33" s="62"/>
      <c r="E33" s="64"/>
      <c r="F33" s="49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98"/>
    </row>
    <row r="34" spans="1:20" s="62" customFormat="1" x14ac:dyDescent="0.25">
      <c r="A34" s="22">
        <v>565.02</v>
      </c>
      <c r="B34" s="16" t="s">
        <v>336</v>
      </c>
      <c r="C34" s="16" t="str">
        <f>INDEX('Alloc Amt'!B:B,MATCH(Expenses!D:D,'Alloc Amt'!D:D,0))</f>
        <v>Prob. Of Dispatch - Gen. Gross Plt. - TY Loads</v>
      </c>
      <c r="D34" s="62">
        <v>88</v>
      </c>
      <c r="E34" s="64"/>
      <c r="F34" s="49">
        <v>2801718.1714950614</v>
      </c>
      <c r="G34" s="65">
        <f t="shared" ref="G34:R34" si="19">INDEX(Alloc,($D34),(G$1))*$F34</f>
        <v>1426558.192408174</v>
      </c>
      <c r="H34" s="65">
        <f t="shared" si="19"/>
        <v>375777.00950245588</v>
      </c>
      <c r="I34" s="65">
        <f t="shared" si="19"/>
        <v>419153.61310821684</v>
      </c>
      <c r="J34" s="65">
        <f t="shared" si="19"/>
        <v>277701.18779269716</v>
      </c>
      <c r="K34" s="65">
        <f t="shared" si="19"/>
        <v>191115.8684028479</v>
      </c>
      <c r="L34" s="65">
        <f t="shared" si="19"/>
        <v>696.81109800425895</v>
      </c>
      <c r="M34" s="65">
        <f t="shared" si="19"/>
        <v>14643.689600574404</v>
      </c>
      <c r="N34" s="65">
        <f t="shared" si="19"/>
        <v>0</v>
      </c>
      <c r="O34" s="65">
        <f t="shared" si="19"/>
        <v>84514.492122724507</v>
      </c>
      <c r="P34" s="65">
        <f t="shared" si="19"/>
        <v>0</v>
      </c>
      <c r="Q34" s="65">
        <f t="shared" si="19"/>
        <v>10640.063041061911</v>
      </c>
      <c r="R34" s="65">
        <f t="shared" si="19"/>
        <v>917.24441830471176</v>
      </c>
      <c r="T34" s="98">
        <f t="shared" si="9"/>
        <v>0</v>
      </c>
    </row>
    <row r="35" spans="1:20" s="56" customFormat="1" x14ac:dyDescent="0.25">
      <c r="A35" s="119"/>
      <c r="B35" s="129"/>
      <c r="C35" s="120"/>
      <c r="E35" s="126"/>
      <c r="F35" s="127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T35" s="128"/>
    </row>
    <row r="36" spans="1:20" s="62" customFormat="1" x14ac:dyDescent="0.25">
      <c r="A36" s="22">
        <v>565.03</v>
      </c>
      <c r="B36" s="16" t="s">
        <v>337</v>
      </c>
      <c r="C36" s="16" t="str">
        <f>INDEX('Alloc Amt'!B:B,MATCH(Expenses!D:D,'Alloc Amt'!D:D,0))</f>
        <v>Schedule 449 / 459 Retail Revenue</v>
      </c>
      <c r="D36" s="62">
        <v>6</v>
      </c>
      <c r="E36" s="64"/>
      <c r="F36" s="49">
        <v>6423.5119633552431</v>
      </c>
      <c r="G36" s="65">
        <f t="shared" ref="G36:R36" si="20">INDEX(Alloc,($D36),(G$1))*$F36</f>
        <v>0</v>
      </c>
      <c r="H36" s="65">
        <f t="shared" si="20"/>
        <v>0</v>
      </c>
      <c r="I36" s="65">
        <f t="shared" si="20"/>
        <v>0</v>
      </c>
      <c r="J36" s="65">
        <f t="shared" si="20"/>
        <v>0</v>
      </c>
      <c r="K36" s="65">
        <f t="shared" si="20"/>
        <v>0</v>
      </c>
      <c r="L36" s="65">
        <f t="shared" si="20"/>
        <v>0</v>
      </c>
      <c r="M36" s="65">
        <f t="shared" si="20"/>
        <v>0</v>
      </c>
      <c r="N36" s="65">
        <f t="shared" si="20"/>
        <v>0</v>
      </c>
      <c r="O36" s="65">
        <f t="shared" si="20"/>
        <v>0</v>
      </c>
      <c r="P36" s="65">
        <f t="shared" si="20"/>
        <v>6423.5119633552431</v>
      </c>
      <c r="Q36" s="65">
        <f t="shared" si="20"/>
        <v>0</v>
      </c>
      <c r="R36" s="65">
        <f t="shared" si="20"/>
        <v>0</v>
      </c>
      <c r="T36" s="98">
        <f t="shared" si="9"/>
        <v>0</v>
      </c>
    </row>
    <row r="37" spans="1:20" s="62" customFormat="1" x14ac:dyDescent="0.25">
      <c r="C37" s="16"/>
      <c r="E37" s="49"/>
      <c r="F37" s="4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T37" s="98">
        <f t="shared" si="9"/>
        <v>0</v>
      </c>
    </row>
    <row r="38" spans="1:20" s="62" customFormat="1" x14ac:dyDescent="0.25">
      <c r="A38" s="22">
        <v>565.04</v>
      </c>
      <c r="B38" s="16" t="s">
        <v>338</v>
      </c>
      <c r="C38" s="16" t="str">
        <f>INDEX('Alloc Amt'!B:B,MATCH(Expenses!D:D,'Alloc Amt'!D:D,0))</f>
        <v>Prob. Of Dispatch - Gen. Gross Plt. - TY Loads</v>
      </c>
      <c r="D38" s="62">
        <v>88</v>
      </c>
      <c r="E38" s="64"/>
      <c r="F38" s="49">
        <v>2943194.9422494383</v>
      </c>
      <c r="G38" s="65">
        <f t="shared" ref="G38:R38" si="21">INDEX(Alloc,($D38),(G$1))*$F38</f>
        <v>1498594.2909738664</v>
      </c>
      <c r="H38" s="65">
        <f t="shared" si="21"/>
        <v>394752.40765957139</v>
      </c>
      <c r="I38" s="65">
        <f t="shared" si="21"/>
        <v>440319.37497388507</v>
      </c>
      <c r="J38" s="65">
        <f t="shared" si="21"/>
        <v>291724.10690115282</v>
      </c>
      <c r="K38" s="65">
        <f t="shared" si="21"/>
        <v>200766.53783014615</v>
      </c>
      <c r="L38" s="65">
        <f t="shared" si="21"/>
        <v>731.99757213803969</v>
      </c>
      <c r="M38" s="65">
        <f t="shared" si="21"/>
        <v>15383.143674755316</v>
      </c>
      <c r="N38" s="65">
        <f t="shared" si="21"/>
        <v>0</v>
      </c>
      <c r="O38" s="65">
        <f t="shared" si="21"/>
        <v>88782.17241588149</v>
      </c>
      <c r="P38" s="65">
        <f t="shared" si="21"/>
        <v>0</v>
      </c>
      <c r="Q38" s="65">
        <f t="shared" si="21"/>
        <v>11177.348259463861</v>
      </c>
      <c r="R38" s="65">
        <f t="shared" si="21"/>
        <v>963.56198857802008</v>
      </c>
      <c r="T38" s="98">
        <f>F38-SUM(G38:R38)</f>
        <v>0</v>
      </c>
    </row>
    <row r="39" spans="1:20" s="56" customFormat="1" x14ac:dyDescent="0.25">
      <c r="A39" s="25"/>
      <c r="B39" s="24" t="s">
        <v>188</v>
      </c>
      <c r="C39" s="24"/>
      <c r="D39" s="66"/>
      <c r="E39" s="67"/>
      <c r="F39" s="50">
        <f t="shared" ref="F39:R39" si="22">SUM(F32:F38)</f>
        <v>24808255.514376964</v>
      </c>
      <c r="G39" s="50">
        <f t="shared" si="22"/>
        <v>11818733.070733709</v>
      </c>
      <c r="H39" s="50">
        <f t="shared" si="22"/>
        <v>3043073.9307735153</v>
      </c>
      <c r="I39" s="50">
        <f t="shared" si="22"/>
        <v>3389161.2778491946</v>
      </c>
      <c r="J39" s="50">
        <f t="shared" si="22"/>
        <v>2214460.4904593839</v>
      </c>
      <c r="K39" s="50">
        <f t="shared" si="22"/>
        <v>1535359.3016754598</v>
      </c>
      <c r="L39" s="50">
        <f t="shared" si="22"/>
        <v>5003.2807787277188</v>
      </c>
      <c r="M39" s="50">
        <f t="shared" si="22"/>
        <v>123677.67982832267</v>
      </c>
      <c r="N39" s="50">
        <f t="shared" si="22"/>
        <v>283885.52368308196</v>
      </c>
      <c r="O39" s="50">
        <f t="shared" si="22"/>
        <v>674420.80780862866</v>
      </c>
      <c r="P39" s="50">
        <f t="shared" si="22"/>
        <v>1631142.2402615214</v>
      </c>
      <c r="Q39" s="50">
        <f t="shared" si="22"/>
        <v>81650.054316116832</v>
      </c>
      <c r="R39" s="50">
        <f t="shared" si="22"/>
        <v>7687.8562093032851</v>
      </c>
      <c r="T39" s="98">
        <f t="shared" si="9"/>
        <v>0</v>
      </c>
    </row>
    <row r="40" spans="1:20" x14ac:dyDescent="0.25">
      <c r="A40" s="22"/>
      <c r="B40" s="16"/>
      <c r="C40" s="16"/>
      <c r="E40" s="48"/>
      <c r="F40" s="49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T40" s="98">
        <f t="shared" si="9"/>
        <v>0</v>
      </c>
    </row>
    <row r="41" spans="1:20" x14ac:dyDescent="0.25">
      <c r="A41" s="22"/>
      <c r="B41" s="20" t="s">
        <v>339</v>
      </c>
      <c r="C41" s="16"/>
      <c r="E41" s="48"/>
      <c r="F41" s="49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T41" s="98">
        <f t="shared" si="9"/>
        <v>0</v>
      </c>
    </row>
    <row r="42" spans="1:20" s="56" customFormat="1" x14ac:dyDescent="0.25">
      <c r="A42" s="22">
        <v>581</v>
      </c>
      <c r="B42" s="16" t="s">
        <v>340</v>
      </c>
      <c r="C42" s="16" t="str">
        <f>INDEX('Alloc Amt'!B:B,MATCH(Expenses!D:D,'Alloc Amt'!D:D,0))</f>
        <v>Dist O&amp;M - ID582.00 to ID587.00 Subtotal</v>
      </c>
      <c r="D42" s="62">
        <v>67</v>
      </c>
      <c r="E42" s="63"/>
      <c r="F42" s="49">
        <v>1756789.5206272467</v>
      </c>
      <c r="G42" s="65">
        <f t="shared" ref="G42:R51" si="23">INDEX(Alloc,($D42),(G$1))*$F42</f>
        <v>1120688.547633511</v>
      </c>
      <c r="H42" s="65">
        <f t="shared" si="23"/>
        <v>249354.72365896709</v>
      </c>
      <c r="I42" s="65">
        <f t="shared" si="23"/>
        <v>158547.87892303432</v>
      </c>
      <c r="J42" s="65">
        <f t="shared" si="23"/>
        <v>59779.441283971464</v>
      </c>
      <c r="K42" s="65">
        <f t="shared" si="23"/>
        <v>91028.186966372086</v>
      </c>
      <c r="L42" s="65">
        <f t="shared" si="23"/>
        <v>725.19551391580228</v>
      </c>
      <c r="M42" s="65">
        <f t="shared" si="23"/>
        <v>25480.730848709562</v>
      </c>
      <c r="N42" s="65">
        <f t="shared" si="23"/>
        <v>17671.096012953385</v>
      </c>
      <c r="O42" s="65">
        <f t="shared" si="23"/>
        <v>9411.9701341393211</v>
      </c>
      <c r="P42" s="65">
        <f t="shared" si="23"/>
        <v>5426.8134540384799</v>
      </c>
      <c r="Q42" s="65">
        <f t="shared" si="23"/>
        <v>18208.167277884768</v>
      </c>
      <c r="R42" s="65">
        <f t="shared" si="23"/>
        <v>466.76891974937342</v>
      </c>
      <c r="T42" s="98">
        <f>F42-SUM(G42:R42)</f>
        <v>0</v>
      </c>
    </row>
    <row r="43" spans="1:20" x14ac:dyDescent="0.25">
      <c r="A43" s="22">
        <v>582</v>
      </c>
      <c r="B43" s="16" t="s">
        <v>341</v>
      </c>
      <c r="C43" s="16" t="str">
        <f>INDEX('Alloc Amt'!B:B,MATCH(Expenses!D:D,'Alloc Amt'!D:D,0))</f>
        <v>Total Station Equip</v>
      </c>
      <c r="D43" s="19">
        <v>56</v>
      </c>
      <c r="E43" s="48"/>
      <c r="F43" s="49">
        <v>1809514.8395264985</v>
      </c>
      <c r="G43" s="65">
        <f t="shared" si="23"/>
        <v>938393.43115670141</v>
      </c>
      <c r="H43" s="65">
        <f t="shared" si="23"/>
        <v>226879.08664162958</v>
      </c>
      <c r="I43" s="65">
        <f t="shared" si="23"/>
        <v>249292.38908507358</v>
      </c>
      <c r="J43" s="65">
        <f t="shared" si="23"/>
        <v>132646.40464143999</v>
      </c>
      <c r="K43" s="65">
        <f t="shared" si="23"/>
        <v>120607.64718486568</v>
      </c>
      <c r="L43" s="65">
        <f t="shared" si="23"/>
        <v>434.22819154588507</v>
      </c>
      <c r="M43" s="65">
        <f t="shared" si="23"/>
        <v>13561.694341294171</v>
      </c>
      <c r="N43" s="65">
        <f t="shared" si="23"/>
        <v>58221.809320955988</v>
      </c>
      <c r="O43" s="65">
        <f t="shared" si="23"/>
        <v>47286.879057156628</v>
      </c>
      <c r="P43" s="65">
        <f t="shared" si="23"/>
        <v>20372.782163879379</v>
      </c>
      <c r="Q43" s="65">
        <f t="shared" si="23"/>
        <v>1356.197355666792</v>
      </c>
      <c r="R43" s="65">
        <f t="shared" si="23"/>
        <v>462.29038628956783</v>
      </c>
      <c r="T43" s="98">
        <f t="shared" ref="T43:T52" si="24">F43-SUM(G43:R43)</f>
        <v>0</v>
      </c>
    </row>
    <row r="44" spans="1:20" x14ac:dyDescent="0.25">
      <c r="A44" s="22">
        <v>583</v>
      </c>
      <c r="B44" s="16" t="s">
        <v>342</v>
      </c>
      <c r="C44" s="16" t="str">
        <f>INDEX('Alloc Amt'!B:B,MATCH(Expenses!D:D,'Alloc Amt'!D:D,0))</f>
        <v>Total OVHD Lines</v>
      </c>
      <c r="D44" s="19">
        <v>57</v>
      </c>
      <c r="E44" s="48"/>
      <c r="F44" s="49">
        <v>2676079.5362708503</v>
      </c>
      <c r="G44" s="65">
        <f t="shared" si="23"/>
        <v>1844232.13549301</v>
      </c>
      <c r="H44" s="65">
        <f t="shared" si="23"/>
        <v>336972.99991922127</v>
      </c>
      <c r="I44" s="65">
        <f t="shared" si="23"/>
        <v>261972.74817450243</v>
      </c>
      <c r="J44" s="65">
        <f t="shared" si="23"/>
        <v>103632.3134482304</v>
      </c>
      <c r="K44" s="65">
        <f t="shared" si="23"/>
        <v>97004.446728915704</v>
      </c>
      <c r="L44" s="65">
        <f t="shared" si="23"/>
        <v>2429.6802572021443</v>
      </c>
      <c r="M44" s="65">
        <f t="shared" si="23"/>
        <v>26140.564360119533</v>
      </c>
      <c r="N44" s="65">
        <f t="shared" si="23"/>
        <v>227.51566421619052</v>
      </c>
      <c r="O44" s="65">
        <f t="shared" si="23"/>
        <v>0</v>
      </c>
      <c r="P44" s="65">
        <f t="shared" si="23"/>
        <v>0</v>
      </c>
      <c r="Q44" s="65">
        <f t="shared" si="23"/>
        <v>1620.6827379346162</v>
      </c>
      <c r="R44" s="65">
        <f t="shared" si="23"/>
        <v>1846.4494874976476</v>
      </c>
      <c r="T44" s="98">
        <f t="shared" si="24"/>
        <v>0</v>
      </c>
    </row>
    <row r="45" spans="1:20" x14ac:dyDescent="0.25">
      <c r="A45" s="22">
        <v>584</v>
      </c>
      <c r="B45" s="16" t="s">
        <v>343</v>
      </c>
      <c r="C45" s="16" t="str">
        <f>INDEX('Alloc Amt'!B:B,MATCH(Expenses!D:D,'Alloc Amt'!D:D,0))</f>
        <v>Total UNGD Lines</v>
      </c>
      <c r="D45" s="19">
        <v>58</v>
      </c>
      <c r="E45" s="48"/>
      <c r="F45" s="49">
        <v>4739504.3435808057</v>
      </c>
      <c r="G45" s="65">
        <f t="shared" si="23"/>
        <v>3136767.6051570675</v>
      </c>
      <c r="H45" s="65">
        <f t="shared" si="23"/>
        <v>558933.61255447555</v>
      </c>
      <c r="I45" s="65">
        <f t="shared" si="23"/>
        <v>521585.08799741167</v>
      </c>
      <c r="J45" s="65">
        <f t="shared" si="23"/>
        <v>226457.78652223671</v>
      </c>
      <c r="K45" s="65">
        <f t="shared" si="23"/>
        <v>161527.74636715307</v>
      </c>
      <c r="L45" s="65">
        <f t="shared" si="23"/>
        <v>1918.2719914828592</v>
      </c>
      <c r="M45" s="65">
        <f t="shared" si="23"/>
        <v>50295.70491403612</v>
      </c>
      <c r="N45" s="65">
        <f t="shared" si="23"/>
        <v>63166.979152309737</v>
      </c>
      <c r="O45" s="65">
        <f t="shared" si="23"/>
        <v>15334.243327640608</v>
      </c>
      <c r="P45" s="65">
        <f t="shared" si="23"/>
        <v>92.150065211651153</v>
      </c>
      <c r="Q45" s="65">
        <f t="shared" si="23"/>
        <v>2149.3890988904327</v>
      </c>
      <c r="R45" s="65">
        <f t="shared" si="23"/>
        <v>1275.7664328898049</v>
      </c>
      <c r="T45" s="98">
        <f t="shared" si="24"/>
        <v>0</v>
      </c>
    </row>
    <row r="46" spans="1:20" x14ac:dyDescent="0.25">
      <c r="A46" s="22">
        <v>585</v>
      </c>
      <c r="B46" s="16" t="s">
        <v>344</v>
      </c>
      <c r="C46" s="16" t="str">
        <f>INDEX('Alloc Amt'!B:B,MATCH(Expenses!D:D,'Alloc Amt'!D:D,0))</f>
        <v>Str. &amp; Signal Systems</v>
      </c>
      <c r="D46" s="19">
        <v>12</v>
      </c>
      <c r="E46" s="48"/>
      <c r="F46" s="49">
        <v>145300.63335813151</v>
      </c>
      <c r="G46" s="65">
        <f t="shared" si="23"/>
        <v>0</v>
      </c>
      <c r="H46" s="65">
        <f t="shared" si="23"/>
        <v>0</v>
      </c>
      <c r="I46" s="65">
        <f t="shared" si="23"/>
        <v>0</v>
      </c>
      <c r="J46" s="65">
        <f t="shared" si="23"/>
        <v>0</v>
      </c>
      <c r="K46" s="65">
        <f t="shared" si="23"/>
        <v>0</v>
      </c>
      <c r="L46" s="65">
        <f t="shared" si="23"/>
        <v>0</v>
      </c>
      <c r="M46" s="65">
        <f t="shared" si="23"/>
        <v>0</v>
      </c>
      <c r="N46" s="65">
        <f t="shared" si="23"/>
        <v>0</v>
      </c>
      <c r="O46" s="65">
        <f t="shared" si="23"/>
        <v>0</v>
      </c>
      <c r="P46" s="65">
        <f t="shared" si="23"/>
        <v>0</v>
      </c>
      <c r="Q46" s="65">
        <f t="shared" si="23"/>
        <v>145300.63335813151</v>
      </c>
      <c r="R46" s="65">
        <f t="shared" si="23"/>
        <v>0</v>
      </c>
      <c r="T46" s="98">
        <f t="shared" si="24"/>
        <v>0</v>
      </c>
    </row>
    <row r="47" spans="1:20" x14ac:dyDescent="0.25">
      <c r="A47" s="22">
        <v>586</v>
      </c>
      <c r="B47" s="16" t="s">
        <v>345</v>
      </c>
      <c r="C47" s="16" t="str">
        <f>INDEX('Alloc Amt'!B:B,MATCH(Expenses!D:D,'Alloc Amt'!D:D,0))</f>
        <v>Meter Investment</v>
      </c>
      <c r="D47" s="19">
        <v>19</v>
      </c>
      <c r="E47" s="48"/>
      <c r="F47" s="49">
        <v>1730550.5930792508</v>
      </c>
      <c r="G47" s="65">
        <f t="shared" si="23"/>
        <v>1123518.3804611764</v>
      </c>
      <c r="H47" s="65">
        <f t="shared" si="23"/>
        <v>315355.25486030173</v>
      </c>
      <c r="I47" s="65">
        <f t="shared" si="23"/>
        <v>93198.861507729729</v>
      </c>
      <c r="J47" s="65">
        <f t="shared" si="23"/>
        <v>10474.752615772622</v>
      </c>
      <c r="K47" s="65">
        <f t="shared" si="23"/>
        <v>125464.50330648165</v>
      </c>
      <c r="L47" s="65">
        <f t="shared" si="23"/>
        <v>406.79545126035157</v>
      </c>
      <c r="M47" s="65">
        <f t="shared" si="23"/>
        <v>40547.829936206821</v>
      </c>
      <c r="N47" s="65">
        <f t="shared" si="23"/>
        <v>8200.857536918249</v>
      </c>
      <c r="O47" s="65">
        <f t="shared" si="23"/>
        <v>5092.712994621379</v>
      </c>
      <c r="P47" s="65">
        <f t="shared" si="23"/>
        <v>8199.2240260751933</v>
      </c>
      <c r="Q47" s="65">
        <f t="shared" si="23"/>
        <v>0</v>
      </c>
      <c r="R47" s="65">
        <f t="shared" si="23"/>
        <v>91.420382706517884</v>
      </c>
      <c r="T47" s="98">
        <f t="shared" si="24"/>
        <v>0</v>
      </c>
    </row>
    <row r="48" spans="1:20" x14ac:dyDescent="0.25">
      <c r="A48" s="22">
        <v>587</v>
      </c>
      <c r="B48" s="16" t="s">
        <v>346</v>
      </c>
      <c r="C48" s="16" t="str">
        <f>INDEX('Alloc Amt'!B:B,MATCH(Expenses!D:D,'Alloc Amt'!D:D,0))</f>
        <v>Meter Investment</v>
      </c>
      <c r="D48" s="19">
        <v>19</v>
      </c>
      <c r="E48" s="48"/>
      <c r="F48" s="49">
        <v>3412779.0851301313</v>
      </c>
      <c r="G48" s="65">
        <f t="shared" si="23"/>
        <v>2215664.7982042483</v>
      </c>
      <c r="H48" s="65">
        <f t="shared" si="23"/>
        <v>621904.85645271954</v>
      </c>
      <c r="I48" s="65">
        <f t="shared" si="23"/>
        <v>183795.33460825766</v>
      </c>
      <c r="J48" s="65">
        <f t="shared" si="23"/>
        <v>20657.019096686912</v>
      </c>
      <c r="K48" s="65">
        <f t="shared" si="23"/>
        <v>247425.66586782946</v>
      </c>
      <c r="L48" s="65">
        <f t="shared" si="23"/>
        <v>802.23196798721051</v>
      </c>
      <c r="M48" s="65">
        <f t="shared" si="23"/>
        <v>79963.444297501046</v>
      </c>
      <c r="N48" s="65">
        <f t="shared" si="23"/>
        <v>16172.722828245394</v>
      </c>
      <c r="O48" s="65">
        <f t="shared" si="23"/>
        <v>10043.222350228249</v>
      </c>
      <c r="P48" s="65">
        <f t="shared" si="23"/>
        <v>16169.501419022914</v>
      </c>
      <c r="Q48" s="65">
        <f t="shared" si="23"/>
        <v>0</v>
      </c>
      <c r="R48" s="65">
        <f t="shared" si="23"/>
        <v>180.28803740446821</v>
      </c>
      <c r="T48" s="98">
        <f t="shared" si="24"/>
        <v>0</v>
      </c>
    </row>
    <row r="49" spans="1:20" s="56" customFormat="1" x14ac:dyDescent="0.25">
      <c r="A49" s="22">
        <v>589</v>
      </c>
      <c r="B49" s="16" t="s">
        <v>347</v>
      </c>
      <c r="C49" s="16" t="str">
        <f>INDEX('Alloc Amt'!B:B,MATCH(Expenses!D:D,'Alloc Amt'!D:D,0))</f>
        <v>Dist O&amp;M - ID582.00 to ID587.00 Subtotal</v>
      </c>
      <c r="D49" s="62">
        <v>67</v>
      </c>
      <c r="E49" s="63"/>
      <c r="F49" s="49">
        <v>1318379.920159139</v>
      </c>
      <c r="G49" s="65">
        <f t="shared" si="23"/>
        <v>841018.94996778178</v>
      </c>
      <c r="H49" s="65">
        <f t="shared" si="23"/>
        <v>187127.85840812497</v>
      </c>
      <c r="I49" s="65">
        <f t="shared" si="23"/>
        <v>118982.00524404299</v>
      </c>
      <c r="J49" s="65">
        <f t="shared" si="23"/>
        <v>44861.387264526194</v>
      </c>
      <c r="K49" s="65">
        <f t="shared" si="23"/>
        <v>68311.959091211087</v>
      </c>
      <c r="L49" s="65">
        <f t="shared" si="23"/>
        <v>544.22182766363483</v>
      </c>
      <c r="M49" s="65">
        <f t="shared" si="23"/>
        <v>19121.974207771927</v>
      </c>
      <c r="N49" s="65">
        <f t="shared" si="23"/>
        <v>13261.246083915557</v>
      </c>
      <c r="O49" s="65">
        <f t="shared" si="23"/>
        <v>7063.1981169585024</v>
      </c>
      <c r="P49" s="65">
        <f t="shared" si="23"/>
        <v>4072.5435826252556</v>
      </c>
      <c r="Q49" s="65">
        <f t="shared" si="23"/>
        <v>13664.290366151026</v>
      </c>
      <c r="R49" s="65">
        <f t="shared" si="23"/>
        <v>350.28599836605969</v>
      </c>
      <c r="T49" s="98">
        <f t="shared" si="24"/>
        <v>0</v>
      </c>
    </row>
    <row r="50" spans="1:20" s="62" customFormat="1" x14ac:dyDescent="0.25">
      <c r="A50" s="22">
        <v>580</v>
      </c>
      <c r="B50" s="16" t="s">
        <v>348</v>
      </c>
      <c r="C50" s="16" t="str">
        <f>INDEX('Alloc Amt'!B:B,MATCH(Expenses!D:D,'Alloc Amt'!D:D,0))</f>
        <v>Dist O&amp;M - ID581.00 to ID589.00 Subtotal</v>
      </c>
      <c r="D50" s="62">
        <v>65</v>
      </c>
      <c r="E50" s="63"/>
      <c r="F50" s="49">
        <v>2736810.1071949545</v>
      </c>
      <c r="G50" s="65">
        <f t="shared" si="23"/>
        <v>1745861.816779247</v>
      </c>
      <c r="H50" s="65">
        <f t="shared" si="23"/>
        <v>388456.62498203415</v>
      </c>
      <c r="I50" s="65">
        <f t="shared" si="23"/>
        <v>246993.41179810566</v>
      </c>
      <c r="J50" s="65">
        <f t="shared" si="23"/>
        <v>93127.251265721716</v>
      </c>
      <c r="K50" s="65">
        <f t="shared" si="23"/>
        <v>141808.03061726515</v>
      </c>
      <c r="L50" s="65">
        <f t="shared" si="23"/>
        <v>1129.743995438098</v>
      </c>
      <c r="M50" s="65">
        <f t="shared" si="23"/>
        <v>39695.092045269019</v>
      </c>
      <c r="N50" s="65">
        <f t="shared" si="23"/>
        <v>27528.872187372734</v>
      </c>
      <c r="O50" s="65">
        <f t="shared" si="23"/>
        <v>14662.413845986852</v>
      </c>
      <c r="P50" s="65">
        <f t="shared" si="23"/>
        <v>8454.1476007730507</v>
      </c>
      <c r="Q50" s="65">
        <f t="shared" si="23"/>
        <v>28365.547297788577</v>
      </c>
      <c r="R50" s="65">
        <f t="shared" si="23"/>
        <v>727.1547799524958</v>
      </c>
      <c r="T50" s="98">
        <f t="shared" si="24"/>
        <v>0</v>
      </c>
    </row>
    <row r="51" spans="1:20" s="62" customFormat="1" x14ac:dyDescent="0.25">
      <c r="A51" s="22">
        <v>588</v>
      </c>
      <c r="B51" s="16" t="s">
        <v>349</v>
      </c>
      <c r="C51" s="16" t="str">
        <f>INDEX('Alloc Amt'!B:B,MATCH(Expenses!D:D,'Alloc Amt'!D:D,0))</f>
        <v>Dist O&amp;M - ID581.00 to ID589.00 Subtotal</v>
      </c>
      <c r="D51" s="62">
        <v>65</v>
      </c>
      <c r="E51" s="63"/>
      <c r="F51" s="49">
        <v>12333410.01394878</v>
      </c>
      <c r="G51" s="65">
        <f t="shared" si="23"/>
        <v>7867710.4989594109</v>
      </c>
      <c r="H51" s="65">
        <f t="shared" si="23"/>
        <v>1750576.2697758421</v>
      </c>
      <c r="I51" s="65">
        <f t="shared" si="23"/>
        <v>1113073.5780467989</v>
      </c>
      <c r="J51" s="65">
        <f t="shared" si="23"/>
        <v>419677.11618450203</v>
      </c>
      <c r="K51" s="65">
        <f t="shared" si="23"/>
        <v>639056.60837606154</v>
      </c>
      <c r="L51" s="65">
        <f t="shared" si="23"/>
        <v>5091.1811052962448</v>
      </c>
      <c r="M51" s="65">
        <f t="shared" si="23"/>
        <v>178885.57355465251</v>
      </c>
      <c r="N51" s="65">
        <f t="shared" si="23"/>
        <v>124058.61371816146</v>
      </c>
      <c r="O51" s="65">
        <f t="shared" si="23"/>
        <v>66076.035484282009</v>
      </c>
      <c r="P51" s="65">
        <f t="shared" si="23"/>
        <v>38098.539757894825</v>
      </c>
      <c r="Q51" s="65">
        <f t="shared" si="23"/>
        <v>127829.08254173679</v>
      </c>
      <c r="R51" s="65">
        <f t="shared" si="23"/>
        <v>3276.9164441404128</v>
      </c>
      <c r="T51" s="98">
        <f t="shared" si="24"/>
        <v>0</v>
      </c>
    </row>
    <row r="52" spans="1:20" x14ac:dyDescent="0.25">
      <c r="A52" s="25"/>
      <c r="B52" s="24" t="s">
        <v>188</v>
      </c>
      <c r="C52" s="24"/>
      <c r="D52" s="54"/>
      <c r="E52" s="55"/>
      <c r="F52" s="50">
        <f>SUM(F42:F51)</f>
        <v>32659118.59287579</v>
      </c>
      <c r="G52" s="50">
        <f t="shared" ref="G52:R52" si="25">SUM(G42:G51)</f>
        <v>20833856.163812153</v>
      </c>
      <c r="H52" s="50">
        <f t="shared" si="25"/>
        <v>4635561.2872533165</v>
      </c>
      <c r="I52" s="50">
        <f t="shared" si="25"/>
        <v>2947441.2953849565</v>
      </c>
      <c r="J52" s="50">
        <f t="shared" si="25"/>
        <v>1111313.472323088</v>
      </c>
      <c r="K52" s="50">
        <f t="shared" si="25"/>
        <v>1692234.7945061554</v>
      </c>
      <c r="L52" s="50">
        <f t="shared" si="25"/>
        <v>13481.550301792231</v>
      </c>
      <c r="M52" s="50">
        <f t="shared" si="25"/>
        <v>473692.60850556073</v>
      </c>
      <c r="N52" s="50">
        <f t="shared" si="25"/>
        <v>328509.71250504872</v>
      </c>
      <c r="O52" s="50">
        <f t="shared" si="25"/>
        <v>174970.67531101353</v>
      </c>
      <c r="P52" s="50">
        <f t="shared" si="25"/>
        <v>100885.70206952075</v>
      </c>
      <c r="Q52" s="50">
        <f t="shared" si="25"/>
        <v>338493.99003418454</v>
      </c>
      <c r="R52" s="50">
        <f t="shared" si="25"/>
        <v>8677.3408689963489</v>
      </c>
      <c r="T52" s="98">
        <f t="shared" si="24"/>
        <v>0</v>
      </c>
    </row>
    <row r="53" spans="1:20" x14ac:dyDescent="0.25">
      <c r="A53" s="22"/>
      <c r="B53" s="16"/>
      <c r="C53" s="16"/>
      <c r="E53" s="48"/>
      <c r="F53" s="49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20" x14ac:dyDescent="0.25">
      <c r="A54" s="22"/>
      <c r="B54" s="20" t="s">
        <v>350</v>
      </c>
      <c r="C54" s="16"/>
      <c r="E54" s="48"/>
      <c r="F54" s="49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1:20" x14ac:dyDescent="0.25">
      <c r="A55" s="22">
        <v>901</v>
      </c>
      <c r="B55" s="16" t="s">
        <v>351</v>
      </c>
      <c r="C55" s="16" t="str">
        <f>INDEX('Alloc Amt'!B:B,MATCH(Expenses!D:D,'Alloc Amt'!D:D,0))</f>
        <v>Cust Accts Exp - Subtotal ID902.00 to ID905.00</v>
      </c>
      <c r="D55" s="19">
        <v>64</v>
      </c>
      <c r="E55" s="48"/>
      <c r="F55" s="49">
        <v>134621.92638556895</v>
      </c>
      <c r="G55" s="39">
        <f t="shared" ref="G55:R59" si="26">INDEX(Alloc,($D55),(G$1))*$F55</f>
        <v>117096.12757406004</v>
      </c>
      <c r="H55" s="39">
        <f t="shared" si="26"/>
        <v>12266.034859929381</v>
      </c>
      <c r="I55" s="39">
        <f t="shared" si="26"/>
        <v>1234.1147826003655</v>
      </c>
      <c r="J55" s="39">
        <f t="shared" si="26"/>
        <v>1309.5115746087858</v>
      </c>
      <c r="K55" s="39">
        <f t="shared" si="26"/>
        <v>1415.3972782132569</v>
      </c>
      <c r="L55" s="39">
        <f t="shared" si="26"/>
        <v>0.11948284628148365</v>
      </c>
      <c r="M55" s="39">
        <f t="shared" si="26"/>
        <v>39.614801916760626</v>
      </c>
      <c r="N55" s="39">
        <f t="shared" si="26"/>
        <v>160.74239463472423</v>
      </c>
      <c r="O55" s="39">
        <f t="shared" si="26"/>
        <v>256.40347828506003</v>
      </c>
      <c r="P55" s="39">
        <f t="shared" si="26"/>
        <v>457.82375630055242</v>
      </c>
      <c r="Q55" s="39">
        <f t="shared" si="26"/>
        <v>385.78311716064837</v>
      </c>
      <c r="R55" s="39">
        <f t="shared" si="26"/>
        <v>0.25328501306495393</v>
      </c>
      <c r="T55" s="98">
        <f t="shared" ref="T55:T60" si="27">F55-SUM(G55:R55)</f>
        <v>0</v>
      </c>
    </row>
    <row r="56" spans="1:20" x14ac:dyDescent="0.25">
      <c r="A56" s="22">
        <v>902</v>
      </c>
      <c r="B56" s="16" t="s">
        <v>352</v>
      </c>
      <c r="C56" s="16" t="str">
        <f>INDEX('Alloc Amt'!B:B,MATCH(Expenses!D:D,'Alloc Amt'!D:D,0))</f>
        <v>Meter Counts. A/C 902</v>
      </c>
      <c r="D56" s="19">
        <v>4</v>
      </c>
      <c r="E56" s="48"/>
      <c r="F56" s="49">
        <v>11371141.862653149</v>
      </c>
      <c r="G56" s="39">
        <f t="shared" si="26"/>
        <v>9996632.4211208429</v>
      </c>
      <c r="H56" s="39">
        <f t="shared" si="26"/>
        <v>1272599.4674878372</v>
      </c>
      <c r="I56" s="39">
        <f t="shared" si="26"/>
        <v>84726.18167537573</v>
      </c>
      <c r="J56" s="39">
        <f t="shared" si="26"/>
        <v>8562.8039852760412</v>
      </c>
      <c r="K56" s="39">
        <f t="shared" si="26"/>
        <v>5139.6218711169904</v>
      </c>
      <c r="L56" s="39">
        <f t="shared" si="26"/>
        <v>19.394799513649019</v>
      </c>
      <c r="M56" s="39">
        <f t="shared" si="26"/>
        <v>1541.886561335097</v>
      </c>
      <c r="N56" s="39">
        <f t="shared" si="26"/>
        <v>960.04257592562647</v>
      </c>
      <c r="O56" s="39">
        <f t="shared" si="26"/>
        <v>349.10639124568235</v>
      </c>
      <c r="P56" s="39">
        <f t="shared" si="26"/>
        <v>533.35698662534799</v>
      </c>
      <c r="Q56" s="39">
        <f t="shared" si="26"/>
        <v>0</v>
      </c>
      <c r="R56" s="39">
        <f t="shared" si="26"/>
        <v>77.579198054596077</v>
      </c>
      <c r="T56" s="98">
        <f t="shared" si="27"/>
        <v>0</v>
      </c>
    </row>
    <row r="57" spans="1:20" x14ac:dyDescent="0.25">
      <c r="A57" s="22">
        <v>903</v>
      </c>
      <c r="B57" s="16" t="s">
        <v>353</v>
      </c>
      <c r="C57" s="16" t="str">
        <f>INDEX('Alloc Amt'!B:B,MATCH(Expenses!D:D,'Alloc Amt'!D:D,0))</f>
        <v>Wtd. Ave. No. Cust. A/C 903 Customer Records Direct Assignment [NEEDS PROFORMA ADJUSTMENT]</v>
      </c>
      <c r="D57" s="19">
        <v>3</v>
      </c>
      <c r="E57" s="48"/>
      <c r="F57" s="49">
        <v>23622828.61329595</v>
      </c>
      <c r="G57" s="39">
        <f t="shared" si="26"/>
        <v>20177622.519180335</v>
      </c>
      <c r="H57" s="39">
        <f t="shared" si="26"/>
        <v>2381005.4371652394</v>
      </c>
      <c r="I57" s="39">
        <f t="shared" si="26"/>
        <v>216910.05295143303</v>
      </c>
      <c r="J57" s="39">
        <f t="shared" si="26"/>
        <v>224156.19862806523</v>
      </c>
      <c r="K57" s="39">
        <f t="shared" si="26"/>
        <v>167844.56570614738</v>
      </c>
      <c r="L57" s="39">
        <f t="shared" si="26"/>
        <v>26.715691655154234</v>
      </c>
      <c r="M57" s="39">
        <f t="shared" si="26"/>
        <v>13746.148757419774</v>
      </c>
      <c r="N57" s="39">
        <f t="shared" si="26"/>
        <v>61073.219929349732</v>
      </c>
      <c r="O57" s="39">
        <f t="shared" si="26"/>
        <v>98601.418215949743</v>
      </c>
      <c r="P57" s="39">
        <f t="shared" si="26"/>
        <v>176148.726917133</v>
      </c>
      <c r="Q57" s="39">
        <f t="shared" si="26"/>
        <v>105673.44229617827</v>
      </c>
      <c r="R57" s="39">
        <f t="shared" si="26"/>
        <v>20.167857038212635</v>
      </c>
      <c r="T57" s="98">
        <f t="shared" si="27"/>
        <v>0</v>
      </c>
    </row>
    <row r="58" spans="1:20" x14ac:dyDescent="0.25">
      <c r="A58" s="22">
        <v>904</v>
      </c>
      <c r="B58" s="16" t="s">
        <v>354</v>
      </c>
      <c r="C58" s="16" t="str">
        <f>INDEX('Alloc Amt'!B:B,MATCH(Expenses!D:D,'Alloc Amt'!D:D,0))</f>
        <v>Direct Assign 904 Uncollectibles</v>
      </c>
      <c r="D58" s="19">
        <v>18</v>
      </c>
      <c r="E58" s="48"/>
      <c r="F58" s="49">
        <v>16958952.817367498</v>
      </c>
      <c r="G58" s="39">
        <f t="shared" si="26"/>
        <v>15015160.314208854</v>
      </c>
      <c r="H58" s="39">
        <f t="shared" si="26"/>
        <v>1080069.5070909716</v>
      </c>
      <c r="I58" s="39">
        <f t="shared" si="26"/>
        <v>174629.9454600178</v>
      </c>
      <c r="J58" s="39">
        <f t="shared" si="26"/>
        <v>272644.09992099757</v>
      </c>
      <c r="K58" s="39">
        <f t="shared" si="26"/>
        <v>373242.03424914565</v>
      </c>
      <c r="L58" s="39">
        <f t="shared" si="26"/>
        <v>0</v>
      </c>
      <c r="M58" s="39">
        <f t="shared" si="26"/>
        <v>0</v>
      </c>
      <c r="N58" s="39">
        <f t="shared" si="26"/>
        <v>0</v>
      </c>
      <c r="O58" s="39">
        <f t="shared" si="26"/>
        <v>0</v>
      </c>
      <c r="P58" s="39">
        <f t="shared" si="26"/>
        <v>0</v>
      </c>
      <c r="Q58" s="39">
        <f t="shared" si="26"/>
        <v>43206.916437510416</v>
      </c>
      <c r="R58" s="39">
        <f t="shared" si="26"/>
        <v>0</v>
      </c>
      <c r="T58" s="98">
        <f t="shared" si="27"/>
        <v>0</v>
      </c>
    </row>
    <row r="59" spans="1:20" x14ac:dyDescent="0.25">
      <c r="A59" s="22">
        <v>905</v>
      </c>
      <c r="B59" s="16" t="s">
        <v>355</v>
      </c>
      <c r="C59" s="16" t="str">
        <f>INDEX('Alloc Amt'!B:B,MATCH(Expenses!D:D,'Alloc Amt'!D:D,0))</f>
        <v>Ave. No. Cust.</v>
      </c>
      <c r="D59" s="19">
        <v>1</v>
      </c>
      <c r="E59" s="48"/>
      <c r="F59" s="49">
        <v>0</v>
      </c>
      <c r="G59" s="39">
        <f t="shared" si="26"/>
        <v>0</v>
      </c>
      <c r="H59" s="39">
        <f t="shared" si="26"/>
        <v>0</v>
      </c>
      <c r="I59" s="39">
        <f t="shared" si="26"/>
        <v>0</v>
      </c>
      <c r="J59" s="39">
        <f t="shared" si="26"/>
        <v>0</v>
      </c>
      <c r="K59" s="39">
        <f t="shared" si="26"/>
        <v>0</v>
      </c>
      <c r="L59" s="39">
        <f t="shared" si="26"/>
        <v>0</v>
      </c>
      <c r="M59" s="39">
        <f t="shared" si="26"/>
        <v>0</v>
      </c>
      <c r="N59" s="39">
        <f t="shared" si="26"/>
        <v>0</v>
      </c>
      <c r="O59" s="39">
        <f t="shared" si="26"/>
        <v>0</v>
      </c>
      <c r="P59" s="39">
        <f t="shared" si="26"/>
        <v>0</v>
      </c>
      <c r="Q59" s="39">
        <f t="shared" si="26"/>
        <v>0</v>
      </c>
      <c r="R59" s="39">
        <f t="shared" si="26"/>
        <v>0</v>
      </c>
      <c r="T59" s="98">
        <f t="shared" si="27"/>
        <v>0</v>
      </c>
    </row>
    <row r="60" spans="1:20" x14ac:dyDescent="0.25">
      <c r="A60" s="25"/>
      <c r="B60" s="24" t="s">
        <v>188</v>
      </c>
      <c r="C60" s="24"/>
      <c r="D60" s="54"/>
      <c r="E60" s="55"/>
      <c r="F60" s="50">
        <f>SUM(F55:F59)</f>
        <v>52087545.219702169</v>
      </c>
      <c r="G60" s="50">
        <f t="shared" ref="G60:R60" si="28">SUM(G55:G59)</f>
        <v>45306511.382084087</v>
      </c>
      <c r="H60" s="50">
        <f t="shared" si="28"/>
        <v>4745940.4466039781</v>
      </c>
      <c r="I60" s="50">
        <f t="shared" si="28"/>
        <v>477500.29486942687</v>
      </c>
      <c r="J60" s="50">
        <f t="shared" si="28"/>
        <v>506672.61410894763</v>
      </c>
      <c r="K60" s="50">
        <f t="shared" si="28"/>
        <v>547641.61910462333</v>
      </c>
      <c r="L60" s="50">
        <f t="shared" si="28"/>
        <v>46.229974015084736</v>
      </c>
      <c r="M60" s="50">
        <f t="shared" si="28"/>
        <v>15327.650120671631</v>
      </c>
      <c r="N60" s="50">
        <f t="shared" si="28"/>
        <v>62194.004899910084</v>
      </c>
      <c r="O60" s="50">
        <f t="shared" si="28"/>
        <v>99206.928085480482</v>
      </c>
      <c r="P60" s="50">
        <f t="shared" si="28"/>
        <v>177139.9076600589</v>
      </c>
      <c r="Q60" s="50">
        <f t="shared" si="28"/>
        <v>149266.14185084932</v>
      </c>
      <c r="R60" s="50">
        <f t="shared" si="28"/>
        <v>98.000340105873661</v>
      </c>
      <c r="T60" s="98">
        <f t="shared" si="27"/>
        <v>0</v>
      </c>
    </row>
    <row r="61" spans="1:20" x14ac:dyDescent="0.25">
      <c r="A61" s="22"/>
      <c r="B61" s="16"/>
      <c r="C61" s="16"/>
      <c r="E61" s="48"/>
      <c r="F61" s="49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20" x14ac:dyDescent="0.25">
      <c r="A62" s="22"/>
      <c r="B62" s="16" t="s">
        <v>356</v>
      </c>
      <c r="C62" s="16"/>
      <c r="E62" s="48"/>
      <c r="F62" s="49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20" x14ac:dyDescent="0.25">
      <c r="A63" s="22">
        <v>908.01</v>
      </c>
      <c r="B63" s="16" t="s">
        <v>357</v>
      </c>
      <c r="C63" s="16" t="str">
        <f>INDEX('Alloc Amt'!B:B,MATCH(Expenses!D:D,'Alloc Amt'!D:D,0))</f>
        <v>Residential Allocation Only</v>
      </c>
      <c r="D63" s="19">
        <v>24</v>
      </c>
      <c r="E63" s="48"/>
      <c r="F63" s="49">
        <v>181452.77413573861</v>
      </c>
      <c r="G63" s="39">
        <f t="shared" ref="G63:R70" si="29">INDEX(Alloc,($D63),(G$1))*$F63</f>
        <v>181452.77413573861</v>
      </c>
      <c r="H63" s="39">
        <f t="shared" si="29"/>
        <v>0</v>
      </c>
      <c r="I63" s="39">
        <f t="shared" si="29"/>
        <v>0</v>
      </c>
      <c r="J63" s="39">
        <f t="shared" si="29"/>
        <v>0</v>
      </c>
      <c r="K63" s="39">
        <f t="shared" si="29"/>
        <v>0</v>
      </c>
      <c r="L63" s="39">
        <f t="shared" si="29"/>
        <v>0</v>
      </c>
      <c r="M63" s="39">
        <f t="shared" si="29"/>
        <v>0</v>
      </c>
      <c r="N63" s="39">
        <f t="shared" si="29"/>
        <v>0</v>
      </c>
      <c r="O63" s="39">
        <f t="shared" si="29"/>
        <v>0</v>
      </c>
      <c r="P63" s="39">
        <f t="shared" si="29"/>
        <v>0</v>
      </c>
      <c r="Q63" s="39">
        <f t="shared" si="29"/>
        <v>0</v>
      </c>
      <c r="R63" s="39">
        <f t="shared" si="29"/>
        <v>0</v>
      </c>
      <c r="T63" s="98">
        <f t="shared" ref="T63:T70" si="30">F63-SUM(G63:R63)</f>
        <v>0</v>
      </c>
    </row>
    <row r="64" spans="1:20" x14ac:dyDescent="0.25">
      <c r="A64" s="22">
        <v>908.02</v>
      </c>
      <c r="B64" s="16" t="s">
        <v>358</v>
      </c>
      <c r="C64" s="16" t="str">
        <f>INDEX('Alloc Amt'!B:B,MATCH(Expenses!D:D,'Alloc Amt'!D:D,0))</f>
        <v>Total Production Plant</v>
      </c>
      <c r="D64" s="19">
        <v>73</v>
      </c>
      <c r="E64" s="48"/>
      <c r="F64" s="49">
        <v>0</v>
      </c>
      <c r="G64" s="39">
        <f t="shared" si="29"/>
        <v>0</v>
      </c>
      <c r="H64" s="39">
        <f t="shared" si="29"/>
        <v>0</v>
      </c>
      <c r="I64" s="39">
        <f t="shared" si="29"/>
        <v>0</v>
      </c>
      <c r="J64" s="39">
        <f t="shared" si="29"/>
        <v>0</v>
      </c>
      <c r="K64" s="39">
        <f t="shared" si="29"/>
        <v>0</v>
      </c>
      <c r="L64" s="39">
        <f t="shared" si="29"/>
        <v>0</v>
      </c>
      <c r="M64" s="39">
        <f t="shared" si="29"/>
        <v>0</v>
      </c>
      <c r="N64" s="39">
        <f t="shared" si="29"/>
        <v>0</v>
      </c>
      <c r="O64" s="39">
        <f t="shared" si="29"/>
        <v>0</v>
      </c>
      <c r="P64" s="39">
        <f t="shared" si="29"/>
        <v>0</v>
      </c>
      <c r="Q64" s="39">
        <f t="shared" si="29"/>
        <v>0</v>
      </c>
      <c r="R64" s="39">
        <f t="shared" si="29"/>
        <v>0</v>
      </c>
      <c r="T64" s="98">
        <f t="shared" si="30"/>
        <v>0</v>
      </c>
    </row>
    <row r="65" spans="1:20" x14ac:dyDescent="0.25">
      <c r="A65" s="22">
        <v>909</v>
      </c>
      <c r="B65" s="16" t="s">
        <v>359</v>
      </c>
      <c r="C65" s="16" t="str">
        <f>INDEX('Alloc Amt'!B:B,MATCH(Expenses!D:D,'Alloc Amt'!D:D,0))</f>
        <v>Ave. No. Cust.</v>
      </c>
      <c r="D65" s="19">
        <v>1</v>
      </c>
      <c r="E65" s="48"/>
      <c r="F65" s="49">
        <v>3077574.695869219</v>
      </c>
      <c r="G65" s="39">
        <f t="shared" si="29"/>
        <v>2704935.780114776</v>
      </c>
      <c r="H65" s="39">
        <f t="shared" si="29"/>
        <v>325473.87122381834</v>
      </c>
      <c r="I65" s="39">
        <f t="shared" si="29"/>
        <v>21852.075565973559</v>
      </c>
      <c r="J65" s="39">
        <f t="shared" si="29"/>
        <v>2253.7294985974686</v>
      </c>
      <c r="K65" s="39">
        <f t="shared" si="29"/>
        <v>1303.5228810177759</v>
      </c>
      <c r="L65" s="39">
        <f t="shared" si="29"/>
        <v>5.3532767187588339</v>
      </c>
      <c r="M65" s="39">
        <f t="shared" si="29"/>
        <v>414.87894570380962</v>
      </c>
      <c r="N65" s="39">
        <f t="shared" si="29"/>
        <v>248.92736742228576</v>
      </c>
      <c r="O65" s="39">
        <f t="shared" si="29"/>
        <v>66.915958984485414</v>
      </c>
      <c r="P65" s="39">
        <f t="shared" si="29"/>
        <v>42.826213750070671</v>
      </c>
      <c r="Q65" s="39">
        <f t="shared" si="29"/>
        <v>20955.401715581454</v>
      </c>
      <c r="R65" s="39">
        <f t="shared" si="29"/>
        <v>21.413106875035336</v>
      </c>
      <c r="T65" s="98">
        <f t="shared" si="30"/>
        <v>0</v>
      </c>
    </row>
    <row r="66" spans="1:20" x14ac:dyDescent="0.25">
      <c r="A66" s="22">
        <v>910</v>
      </c>
      <c r="B66" s="16" t="s">
        <v>360</v>
      </c>
      <c r="C66" s="16" t="str">
        <f>INDEX('Alloc Amt'!B:B,MATCH(Expenses!D:D,'Alloc Amt'!D:D,0))</f>
        <v>Ave. No. Cust.</v>
      </c>
      <c r="D66" s="19">
        <v>1</v>
      </c>
      <c r="E66" s="48"/>
      <c r="F66" s="49">
        <v>892.81</v>
      </c>
      <c r="G66" s="39">
        <f t="shared" si="29"/>
        <v>784.70677481385746</v>
      </c>
      <c r="H66" s="39">
        <f t="shared" si="29"/>
        <v>94.420560240948134</v>
      </c>
      <c r="I66" s="39">
        <f t="shared" si="29"/>
        <v>6.3393267472088404</v>
      </c>
      <c r="J66" s="39">
        <f t="shared" si="29"/>
        <v>0.65381101434956435</v>
      </c>
      <c r="K66" s="39">
        <f t="shared" si="29"/>
        <v>0.37815435152997368</v>
      </c>
      <c r="L66" s="39">
        <f t="shared" si="29"/>
        <v>1.5529952834906517E-3</v>
      </c>
      <c r="M66" s="39">
        <f t="shared" si="29"/>
        <v>0.12035713447052551</v>
      </c>
      <c r="N66" s="39">
        <f t="shared" si="29"/>
        <v>7.2214280682315307E-2</v>
      </c>
      <c r="O66" s="39">
        <f t="shared" si="29"/>
        <v>1.9412441043633145E-2</v>
      </c>
      <c r="P66" s="39">
        <f t="shared" si="29"/>
        <v>1.2423962267925213E-2</v>
      </c>
      <c r="Q66" s="39">
        <f t="shared" si="29"/>
        <v>6.0792000372241555</v>
      </c>
      <c r="R66" s="39">
        <f t="shared" si="29"/>
        <v>6.2119811339626067E-3</v>
      </c>
      <c r="T66" s="98">
        <f t="shared" si="30"/>
        <v>0</v>
      </c>
    </row>
    <row r="67" spans="1:20" x14ac:dyDescent="0.25">
      <c r="A67" s="22">
        <v>911</v>
      </c>
      <c r="B67" s="16" t="s">
        <v>361</v>
      </c>
      <c r="C67" s="16" t="str">
        <f>INDEX('Alloc Amt'!B:B,MATCH(Expenses!D:D,'Alloc Amt'!D:D,0))</f>
        <v>Str. &amp; Signal Systems</v>
      </c>
      <c r="D67" s="19">
        <v>12</v>
      </c>
      <c r="E67" s="48"/>
      <c r="F67" s="49">
        <v>0</v>
      </c>
      <c r="G67" s="39">
        <f t="shared" si="29"/>
        <v>0</v>
      </c>
      <c r="H67" s="39">
        <f t="shared" si="29"/>
        <v>0</v>
      </c>
      <c r="I67" s="39">
        <f t="shared" si="29"/>
        <v>0</v>
      </c>
      <c r="J67" s="39">
        <f t="shared" si="29"/>
        <v>0</v>
      </c>
      <c r="K67" s="39">
        <f t="shared" si="29"/>
        <v>0</v>
      </c>
      <c r="L67" s="39">
        <f t="shared" si="29"/>
        <v>0</v>
      </c>
      <c r="M67" s="39">
        <f t="shared" si="29"/>
        <v>0</v>
      </c>
      <c r="N67" s="39">
        <f t="shared" si="29"/>
        <v>0</v>
      </c>
      <c r="O67" s="39">
        <f t="shared" si="29"/>
        <v>0</v>
      </c>
      <c r="P67" s="39">
        <f t="shared" si="29"/>
        <v>0</v>
      </c>
      <c r="Q67" s="39">
        <f t="shared" si="29"/>
        <v>0</v>
      </c>
      <c r="R67" s="39">
        <f t="shared" si="29"/>
        <v>0</v>
      </c>
      <c r="T67" s="98">
        <f t="shared" si="30"/>
        <v>0</v>
      </c>
    </row>
    <row r="68" spans="1:20" x14ac:dyDescent="0.25">
      <c r="A68" s="22">
        <v>912</v>
      </c>
      <c r="B68" s="16" t="s">
        <v>362</v>
      </c>
      <c r="C68" s="16" t="str">
        <f>INDEX('Alloc Amt'!B:B,MATCH(Expenses!D:D,'Alloc Amt'!D:D,0))</f>
        <v>Ave. No. Cust.</v>
      </c>
      <c r="D68" s="19">
        <v>1</v>
      </c>
      <c r="E68" s="48"/>
      <c r="F68" s="49">
        <v>823619.80694727926</v>
      </c>
      <c r="G68" s="39">
        <f t="shared" si="29"/>
        <v>723894.26908570854</v>
      </c>
      <c r="H68" s="39">
        <f t="shared" si="29"/>
        <v>87103.239880269772</v>
      </c>
      <c r="I68" s="39">
        <f t="shared" si="29"/>
        <v>5848.0472572124745</v>
      </c>
      <c r="J68" s="39">
        <f t="shared" si="29"/>
        <v>603.14255151554426</v>
      </c>
      <c r="K68" s="39">
        <f t="shared" si="29"/>
        <v>348.84848288369363</v>
      </c>
      <c r="L68" s="39">
        <f t="shared" si="29"/>
        <v>1.4326426401794401</v>
      </c>
      <c r="M68" s="39">
        <f t="shared" si="29"/>
        <v>111.02980461390661</v>
      </c>
      <c r="N68" s="39">
        <f t="shared" si="29"/>
        <v>66.617882768343961</v>
      </c>
      <c r="O68" s="39">
        <f t="shared" si="29"/>
        <v>17.908033002242998</v>
      </c>
      <c r="P68" s="39">
        <f t="shared" si="29"/>
        <v>11.461141121435521</v>
      </c>
      <c r="Q68" s="39">
        <f t="shared" si="29"/>
        <v>5608.0796149824182</v>
      </c>
      <c r="R68" s="39">
        <f t="shared" si="29"/>
        <v>5.7305705607177604</v>
      </c>
      <c r="T68" s="98">
        <f t="shared" si="30"/>
        <v>0</v>
      </c>
    </row>
    <row r="69" spans="1:20" x14ac:dyDescent="0.25">
      <c r="A69" s="22">
        <v>913</v>
      </c>
      <c r="B69" s="16" t="s">
        <v>363</v>
      </c>
      <c r="C69" s="16"/>
      <c r="E69" s="48"/>
      <c r="F69" s="49">
        <v>0</v>
      </c>
      <c r="G69" s="39">
        <f t="shared" si="29"/>
        <v>0</v>
      </c>
      <c r="H69" s="39">
        <f t="shared" si="29"/>
        <v>0</v>
      </c>
      <c r="I69" s="39">
        <f t="shared" si="29"/>
        <v>0</v>
      </c>
      <c r="J69" s="39">
        <f t="shared" si="29"/>
        <v>0</v>
      </c>
      <c r="K69" s="39">
        <f t="shared" si="29"/>
        <v>0</v>
      </c>
      <c r="L69" s="39"/>
      <c r="M69" s="39"/>
      <c r="N69" s="39">
        <f t="shared" si="29"/>
        <v>0</v>
      </c>
      <c r="O69" s="39">
        <f t="shared" si="29"/>
        <v>0</v>
      </c>
      <c r="P69" s="39">
        <f t="shared" si="29"/>
        <v>0</v>
      </c>
      <c r="Q69" s="39">
        <f t="shared" si="29"/>
        <v>0</v>
      </c>
      <c r="R69" s="39">
        <f t="shared" si="29"/>
        <v>0</v>
      </c>
      <c r="T69" s="98">
        <f t="shared" si="30"/>
        <v>0</v>
      </c>
    </row>
    <row r="70" spans="1:20" x14ac:dyDescent="0.25">
      <c r="A70" s="22">
        <v>916</v>
      </c>
      <c r="B70" s="16" t="s">
        <v>364</v>
      </c>
      <c r="C70" s="16"/>
      <c r="E70" s="48"/>
      <c r="F70" s="49">
        <v>0</v>
      </c>
      <c r="G70" s="39">
        <f t="shared" si="29"/>
        <v>0</v>
      </c>
      <c r="H70" s="39">
        <f t="shared" si="29"/>
        <v>0</v>
      </c>
      <c r="I70" s="39">
        <f t="shared" si="29"/>
        <v>0</v>
      </c>
      <c r="J70" s="39">
        <f t="shared" si="29"/>
        <v>0</v>
      </c>
      <c r="K70" s="39">
        <f t="shared" si="29"/>
        <v>0</v>
      </c>
      <c r="L70" s="39"/>
      <c r="M70" s="39"/>
      <c r="N70" s="39">
        <f t="shared" si="29"/>
        <v>0</v>
      </c>
      <c r="O70" s="39">
        <f t="shared" si="29"/>
        <v>0</v>
      </c>
      <c r="P70" s="39">
        <f t="shared" si="29"/>
        <v>0</v>
      </c>
      <c r="Q70" s="39">
        <f t="shared" si="29"/>
        <v>0</v>
      </c>
      <c r="R70" s="39">
        <f t="shared" si="29"/>
        <v>0</v>
      </c>
      <c r="T70" s="98">
        <f t="shared" si="30"/>
        <v>0</v>
      </c>
    </row>
    <row r="71" spans="1:20" x14ac:dyDescent="0.25">
      <c r="A71" s="25"/>
      <c r="B71" s="24" t="s">
        <v>188</v>
      </c>
      <c r="C71" s="24"/>
      <c r="D71" s="54"/>
      <c r="E71" s="55"/>
      <c r="F71" s="50">
        <f>SUM(F63:F70)</f>
        <v>4083540.0869522369</v>
      </c>
      <c r="G71" s="50">
        <f t="shared" ref="G71:R71" si="31">SUM(G63:G70)</f>
        <v>3611067.5301110372</v>
      </c>
      <c r="H71" s="50">
        <f t="shared" si="31"/>
        <v>412671.531664329</v>
      </c>
      <c r="I71" s="50">
        <f t="shared" si="31"/>
        <v>27706.462149933242</v>
      </c>
      <c r="J71" s="50">
        <f t="shared" si="31"/>
        <v>2857.5258611273625</v>
      </c>
      <c r="K71" s="50">
        <f t="shared" si="31"/>
        <v>1652.7495182529995</v>
      </c>
      <c r="L71" s="50">
        <f t="shared" si="31"/>
        <v>6.7874723542217641</v>
      </c>
      <c r="M71" s="50">
        <f t="shared" si="31"/>
        <v>526.02910745218674</v>
      </c>
      <c r="N71" s="50">
        <f t="shared" si="31"/>
        <v>315.61746447131202</v>
      </c>
      <c r="O71" s="50">
        <f t="shared" si="31"/>
        <v>84.843404427772043</v>
      </c>
      <c r="P71" s="50">
        <f t="shared" si="31"/>
        <v>54.299778833774113</v>
      </c>
      <c r="Q71" s="50">
        <f t="shared" si="31"/>
        <v>26569.560530601098</v>
      </c>
      <c r="R71" s="50">
        <f t="shared" si="31"/>
        <v>27.149889416887056</v>
      </c>
    </row>
    <row r="72" spans="1:20" x14ac:dyDescent="0.25">
      <c r="A72" s="22"/>
      <c r="B72" s="16"/>
      <c r="C72" s="16"/>
      <c r="E72" s="48"/>
      <c r="F72" s="49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20" x14ac:dyDescent="0.25">
      <c r="A73" s="22"/>
      <c r="B73" s="20" t="s">
        <v>365</v>
      </c>
      <c r="C73" s="16"/>
      <c r="E73" s="48"/>
      <c r="F73" s="49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20" x14ac:dyDescent="0.25">
      <c r="A74" s="22">
        <v>920</v>
      </c>
      <c r="B74" s="16" t="s">
        <v>366</v>
      </c>
      <c r="C74" s="16" t="str">
        <f>INDEX('Alloc Amt'!B:B,MATCH(Expenses!D:D,'Alloc Amt'!D:D,0))</f>
        <v>Adj Total Prod Trans Dist &amp; Cust Exp</v>
      </c>
      <c r="D74" s="19">
        <v>62</v>
      </c>
      <c r="E74" s="48"/>
      <c r="F74" s="49">
        <v>49509441.614050545</v>
      </c>
      <c r="G74" s="39">
        <f t="shared" ref="G74:R83" si="32">INDEX(Alloc,($D74),(G$1))*$F74</f>
        <v>30816322.37958749</v>
      </c>
      <c r="H74" s="39">
        <f t="shared" si="32"/>
        <v>6072282.4413653165</v>
      </c>
      <c r="I74" s="39">
        <f t="shared" si="32"/>
        <v>5088096.8660211908</v>
      </c>
      <c r="J74" s="39">
        <f t="shared" si="32"/>
        <v>3011353.9344634386</v>
      </c>
      <c r="K74" s="39">
        <f t="shared" si="32"/>
        <v>2352696.1210237383</v>
      </c>
      <c r="L74" s="39">
        <f t="shared" si="32"/>
        <v>15096.811253600647</v>
      </c>
      <c r="M74" s="39">
        <f t="shared" si="32"/>
        <v>304115.96860525018</v>
      </c>
      <c r="N74" s="39">
        <f t="shared" si="32"/>
        <v>161190.27232391955</v>
      </c>
      <c r="O74" s="39">
        <f t="shared" si="32"/>
        <v>776419.71679961402</v>
      </c>
      <c r="P74" s="39">
        <f t="shared" si="32"/>
        <v>346424.34396579844</v>
      </c>
      <c r="Q74" s="39">
        <f t="shared" si="32"/>
        <v>550899.98002347013</v>
      </c>
      <c r="R74" s="39">
        <f t="shared" si="32"/>
        <v>14542.778617711088</v>
      </c>
      <c r="T74" s="98">
        <f t="shared" ref="T74:T135" si="33">F74-SUM(G74:R74)</f>
        <v>0</v>
      </c>
    </row>
    <row r="75" spans="1:20" x14ac:dyDescent="0.25">
      <c r="A75" s="22">
        <v>921</v>
      </c>
      <c r="B75" s="16" t="s">
        <v>367</v>
      </c>
      <c r="C75" s="16" t="str">
        <f>INDEX('Alloc Amt'!B:B,MATCH(Expenses!D:D,'Alloc Amt'!D:D,0))</f>
        <v>Adj Total Prod Trans Dist &amp; Cust Exp</v>
      </c>
      <c r="D75" s="19">
        <v>62</v>
      </c>
      <c r="E75" s="48"/>
      <c r="F75" s="49">
        <v>8619180.191495249</v>
      </c>
      <c r="G75" s="39">
        <f t="shared" si="32"/>
        <v>5364864.2919352371</v>
      </c>
      <c r="H75" s="39">
        <f t="shared" si="32"/>
        <v>1057133.6462200584</v>
      </c>
      <c r="I75" s="39">
        <f t="shared" si="32"/>
        <v>885795.15927267086</v>
      </c>
      <c r="J75" s="39">
        <f t="shared" si="32"/>
        <v>524251.56364806456</v>
      </c>
      <c r="K75" s="39">
        <f t="shared" si="32"/>
        <v>409584.74064431025</v>
      </c>
      <c r="L75" s="39">
        <f t="shared" si="32"/>
        <v>2628.2287230411666</v>
      </c>
      <c r="M75" s="39">
        <f t="shared" si="32"/>
        <v>52944.04960075071</v>
      </c>
      <c r="N75" s="39">
        <f t="shared" si="32"/>
        <v>28061.87985529143</v>
      </c>
      <c r="O75" s="39">
        <f t="shared" si="32"/>
        <v>135168.18661566963</v>
      </c>
      <c r="P75" s="39">
        <f t="shared" si="32"/>
        <v>60309.584314002124</v>
      </c>
      <c r="Q75" s="39">
        <f t="shared" si="32"/>
        <v>95907.084396723934</v>
      </c>
      <c r="R75" s="39">
        <f t="shared" si="32"/>
        <v>2531.7762694278344</v>
      </c>
      <c r="T75" s="98">
        <f t="shared" si="33"/>
        <v>0</v>
      </c>
    </row>
    <row r="76" spans="1:20" x14ac:dyDescent="0.25">
      <c r="A76" s="22">
        <v>922</v>
      </c>
      <c r="B76" s="16" t="s">
        <v>368</v>
      </c>
      <c r="C76" s="16" t="str">
        <f>INDEX('Alloc Amt'!B:B,MATCH(Expenses!D:D,'Alloc Amt'!D:D,0))</f>
        <v>Adj Total Prod Trans Dist &amp; Cust Exp</v>
      </c>
      <c r="D76" s="19">
        <v>62</v>
      </c>
      <c r="E76" s="48"/>
      <c r="F76" s="49">
        <v>-21557751.289999999</v>
      </c>
      <c r="G76" s="39">
        <f t="shared" si="32"/>
        <v>-13418261.080591023</v>
      </c>
      <c r="H76" s="39">
        <f t="shared" si="32"/>
        <v>-2644036.1750401431</v>
      </c>
      <c r="I76" s="39">
        <f t="shared" si="32"/>
        <v>-2215495.1298417463</v>
      </c>
      <c r="J76" s="39">
        <f t="shared" si="32"/>
        <v>-1311225.0320129311</v>
      </c>
      <c r="K76" s="39">
        <f t="shared" si="32"/>
        <v>-1024427.5876378239</v>
      </c>
      <c r="L76" s="39">
        <f t="shared" si="32"/>
        <v>-6573.5603486352738</v>
      </c>
      <c r="M76" s="39">
        <f t="shared" si="32"/>
        <v>-132420.32632112849</v>
      </c>
      <c r="N76" s="39">
        <f t="shared" si="32"/>
        <v>-70186.608611240488</v>
      </c>
      <c r="O76" s="39">
        <f t="shared" si="32"/>
        <v>-338074.16536623164</v>
      </c>
      <c r="P76" s="39">
        <f t="shared" si="32"/>
        <v>-150842.53840375924</v>
      </c>
      <c r="Q76" s="39">
        <f t="shared" si="32"/>
        <v>-239876.766286161</v>
      </c>
      <c r="R76" s="39">
        <f t="shared" si="32"/>
        <v>-6332.3195391719601</v>
      </c>
      <c r="T76" s="98">
        <f t="shared" si="33"/>
        <v>0</v>
      </c>
    </row>
    <row r="77" spans="1:20" x14ac:dyDescent="0.25">
      <c r="A77" s="22">
        <v>923</v>
      </c>
      <c r="B77" s="16" t="s">
        <v>369</v>
      </c>
      <c r="C77" s="16" t="str">
        <f>INDEX('Alloc Amt'!B:B,MATCH(Expenses!D:D,'Alloc Amt'!D:D,0))</f>
        <v>Adj Total Prod Trans Dist &amp; Cust Exp</v>
      </c>
      <c r="D77" s="19">
        <v>62</v>
      </c>
      <c r="E77" s="48"/>
      <c r="F77" s="49">
        <v>11082001.521692986</v>
      </c>
      <c r="G77" s="39">
        <f t="shared" si="32"/>
        <v>6897806.1632319484</v>
      </c>
      <c r="H77" s="39">
        <f t="shared" si="32"/>
        <v>1359196.1666613219</v>
      </c>
      <c r="I77" s="39">
        <f t="shared" si="32"/>
        <v>1138899.8819927305</v>
      </c>
      <c r="J77" s="39">
        <f t="shared" si="32"/>
        <v>674049.79325416638</v>
      </c>
      <c r="K77" s="39">
        <f t="shared" si="32"/>
        <v>526618.38112645922</v>
      </c>
      <c r="L77" s="39">
        <f t="shared" si="32"/>
        <v>3379.2117186317528</v>
      </c>
      <c r="M77" s="39">
        <f t="shared" si="32"/>
        <v>68072.139716842779</v>
      </c>
      <c r="N77" s="39">
        <f t="shared" si="32"/>
        <v>36080.20581409338</v>
      </c>
      <c r="O77" s="39">
        <f t="shared" si="32"/>
        <v>173790.78015301033</v>
      </c>
      <c r="P77" s="39">
        <f t="shared" si="32"/>
        <v>77542.282478317458</v>
      </c>
      <c r="Q77" s="39">
        <f t="shared" si="32"/>
        <v>123311.316344722</v>
      </c>
      <c r="R77" s="39">
        <f t="shared" si="32"/>
        <v>3255.1992007395447</v>
      </c>
      <c r="T77" s="98">
        <f t="shared" si="33"/>
        <v>0</v>
      </c>
    </row>
    <row r="78" spans="1:20" x14ac:dyDescent="0.25">
      <c r="A78" s="22">
        <v>924</v>
      </c>
      <c r="B78" s="16" t="s">
        <v>370</v>
      </c>
      <c r="C78" s="16" t="str">
        <f>INDEX('Alloc Amt'!B:B,MATCH(Expenses!D:D,'Alloc Amt'!D:D,0))</f>
        <v>Total Prod, Trans, Dist &amp; Gen Plant</v>
      </c>
      <c r="D78" s="19">
        <v>74</v>
      </c>
      <c r="E78" s="48"/>
      <c r="F78" s="49">
        <v>4733023.9572393717</v>
      </c>
      <c r="G78" s="39">
        <f t="shared" si="32"/>
        <v>2700474.3132663108</v>
      </c>
      <c r="H78" s="39">
        <f t="shared" si="32"/>
        <v>594070.31828776549</v>
      </c>
      <c r="I78" s="39">
        <f t="shared" si="32"/>
        <v>584932.32808617328</v>
      </c>
      <c r="J78" s="39">
        <f t="shared" si="32"/>
        <v>342803.25133178214</v>
      </c>
      <c r="K78" s="39">
        <f t="shared" si="32"/>
        <v>251585.71684761829</v>
      </c>
      <c r="L78" s="39">
        <f t="shared" si="32"/>
        <v>1437.2203641210197</v>
      </c>
      <c r="M78" s="39">
        <f t="shared" si="32"/>
        <v>31321.451704443116</v>
      </c>
      <c r="N78" s="39">
        <f t="shared" si="32"/>
        <v>32486.852923783885</v>
      </c>
      <c r="O78" s="39">
        <f t="shared" si="32"/>
        <v>89328.756814266671</v>
      </c>
      <c r="P78" s="39">
        <f t="shared" si="32"/>
        <v>53701.923002816242</v>
      </c>
      <c r="Q78" s="39">
        <f t="shared" si="32"/>
        <v>49395.234995835453</v>
      </c>
      <c r="R78" s="39">
        <f t="shared" si="32"/>
        <v>1486.5896144550218</v>
      </c>
      <c r="T78" s="98">
        <f t="shared" si="33"/>
        <v>0</v>
      </c>
    </row>
    <row r="79" spans="1:20" x14ac:dyDescent="0.25">
      <c r="A79" s="22">
        <v>925</v>
      </c>
      <c r="B79" s="16" t="s">
        <v>371</v>
      </c>
      <c r="C79" s="16" t="str">
        <f>INDEX('Alloc Amt'!B:B,MATCH(Expenses!D:D,'Alloc Amt'!D:D,0))</f>
        <v>Salary &amp; Wages - Total</v>
      </c>
      <c r="D79" s="19">
        <v>78</v>
      </c>
      <c r="E79" s="48"/>
      <c r="F79" s="49">
        <v>5028611.9969101809</v>
      </c>
      <c r="G79" s="39">
        <f t="shared" si="32"/>
        <v>3027528.160823015</v>
      </c>
      <c r="H79" s="39">
        <f t="shared" si="32"/>
        <v>610586.39999714587</v>
      </c>
      <c r="I79" s="39">
        <f t="shared" si="32"/>
        <v>554924.21372753207</v>
      </c>
      <c r="J79" s="39">
        <f t="shared" si="32"/>
        <v>326539.81294824689</v>
      </c>
      <c r="K79" s="39">
        <f t="shared" si="32"/>
        <v>241524.09560900129</v>
      </c>
      <c r="L79" s="39">
        <f t="shared" si="32"/>
        <v>1360.7085511016539</v>
      </c>
      <c r="M79" s="39">
        <f t="shared" si="32"/>
        <v>29754.20370466329</v>
      </c>
      <c r="N79" s="39">
        <f t="shared" si="32"/>
        <v>30860.23887054329</v>
      </c>
      <c r="O79" s="39">
        <f t="shared" si="32"/>
        <v>84518.486564542531</v>
      </c>
      <c r="P79" s="39">
        <f t="shared" si="32"/>
        <v>48563.601296040266</v>
      </c>
      <c r="Q79" s="39">
        <f t="shared" si="32"/>
        <v>71050.487690378286</v>
      </c>
      <c r="R79" s="39">
        <f t="shared" si="32"/>
        <v>1401.587127970118</v>
      </c>
      <c r="T79" s="98">
        <f t="shared" si="33"/>
        <v>0</v>
      </c>
    </row>
    <row r="80" spans="1:20" x14ac:dyDescent="0.25">
      <c r="A80" s="22">
        <v>926</v>
      </c>
      <c r="B80" s="16" t="s">
        <v>372</v>
      </c>
      <c r="C80" s="16" t="str">
        <f>INDEX('Alloc Amt'!B:B,MATCH(Expenses!D:D,'Alloc Amt'!D:D,0))</f>
        <v>Salary &amp; Wages - Total</v>
      </c>
      <c r="D80" s="19">
        <v>78</v>
      </c>
      <c r="E80" s="48"/>
      <c r="F80" s="49">
        <v>35454127.155340493</v>
      </c>
      <c r="G80" s="39">
        <f t="shared" si="32"/>
        <v>21345526.050955437</v>
      </c>
      <c r="H80" s="39">
        <f t="shared" si="32"/>
        <v>4304927.0610104427</v>
      </c>
      <c r="I80" s="39">
        <f t="shared" si="32"/>
        <v>3912481.9427631581</v>
      </c>
      <c r="J80" s="39">
        <f t="shared" si="32"/>
        <v>2302262.3452876899</v>
      </c>
      <c r="K80" s="39">
        <f t="shared" si="32"/>
        <v>1702860.7500562139</v>
      </c>
      <c r="L80" s="39">
        <f t="shared" si="32"/>
        <v>9593.6481123935991</v>
      </c>
      <c r="M80" s="39">
        <f t="shared" si="32"/>
        <v>209781.41129186781</v>
      </c>
      <c r="N80" s="39">
        <f t="shared" si="32"/>
        <v>217579.48985380147</v>
      </c>
      <c r="O80" s="39">
        <f t="shared" si="32"/>
        <v>595895.87971341563</v>
      </c>
      <c r="P80" s="39">
        <f t="shared" si="32"/>
        <v>342396.68849555578</v>
      </c>
      <c r="Q80" s="39">
        <f t="shared" si="32"/>
        <v>500940.02610888256</v>
      </c>
      <c r="R80" s="39">
        <f t="shared" si="32"/>
        <v>9881.8616916306564</v>
      </c>
      <c r="T80" s="98">
        <f t="shared" si="33"/>
        <v>0</v>
      </c>
    </row>
    <row r="81" spans="1:20" x14ac:dyDescent="0.25">
      <c r="A81" s="22">
        <v>928</v>
      </c>
      <c r="B81" s="16" t="s">
        <v>373</v>
      </c>
      <c r="C81" s="16" t="str">
        <f>INDEX('Alloc Amt'!B:B,MATCH(Expenses!D:D,'Alloc Amt'!D:D,0))</f>
        <v>Firm Sales Revenue</v>
      </c>
      <c r="D81" s="19">
        <v>84</v>
      </c>
      <c r="E81" s="48"/>
      <c r="F81" s="49">
        <v>7659023.8861585967</v>
      </c>
      <c r="G81" s="39">
        <f t="shared" si="32"/>
        <v>4241400.9512555385</v>
      </c>
      <c r="H81" s="39">
        <f t="shared" si="32"/>
        <v>1010170.7008039075</v>
      </c>
      <c r="I81" s="39">
        <f t="shared" si="32"/>
        <v>1038217.4451974989</v>
      </c>
      <c r="J81" s="39">
        <f t="shared" si="32"/>
        <v>614718.73306899902</v>
      </c>
      <c r="K81" s="39">
        <f t="shared" si="32"/>
        <v>434363.24124265421</v>
      </c>
      <c r="L81" s="39">
        <f t="shared" si="32"/>
        <v>1027.9034446828339</v>
      </c>
      <c r="M81" s="39">
        <f t="shared" si="32"/>
        <v>40987.986400816255</v>
      </c>
      <c r="N81" s="39">
        <f t="shared" si="32"/>
        <v>21069.205517841994</v>
      </c>
      <c r="O81" s="39">
        <f t="shared" si="32"/>
        <v>153902.25972028796</v>
      </c>
      <c r="P81" s="39">
        <f t="shared" si="32"/>
        <v>38802.753943255826</v>
      </c>
      <c r="Q81" s="39">
        <f t="shared" si="32"/>
        <v>63118.772800850216</v>
      </c>
      <c r="R81" s="39">
        <f t="shared" si="32"/>
        <v>1243.9327622642893</v>
      </c>
      <c r="T81" s="98">
        <f t="shared" si="33"/>
        <v>0</v>
      </c>
    </row>
    <row r="82" spans="1:20" x14ac:dyDescent="0.25">
      <c r="A82" s="22">
        <v>930</v>
      </c>
      <c r="B82" s="16" t="s">
        <v>374</v>
      </c>
      <c r="C82" s="16" t="str">
        <f>INDEX('Alloc Amt'!B:B,MATCH(Expenses!D:D,'Alloc Amt'!D:D,0))</f>
        <v>Adj Total Prod Trans Dist &amp; Cust Exp</v>
      </c>
      <c r="D82" s="19">
        <v>62</v>
      </c>
      <c r="E82" s="48"/>
      <c r="F82" s="49">
        <v>5458093.0235263202</v>
      </c>
      <c r="G82" s="39">
        <f t="shared" si="32"/>
        <v>3397298.5496776556</v>
      </c>
      <c r="H82" s="39">
        <f t="shared" si="32"/>
        <v>669429.53403642413</v>
      </c>
      <c r="I82" s="39">
        <f t="shared" si="32"/>
        <v>560929.49348826893</v>
      </c>
      <c r="J82" s="39">
        <f t="shared" si="32"/>
        <v>331982.13038215524</v>
      </c>
      <c r="K82" s="39">
        <f t="shared" si="32"/>
        <v>259369.40240087095</v>
      </c>
      <c r="L82" s="39">
        <f t="shared" si="32"/>
        <v>1664.3249750848868</v>
      </c>
      <c r="M82" s="39">
        <f t="shared" si="32"/>
        <v>33526.802009340288</v>
      </c>
      <c r="N82" s="39">
        <f t="shared" si="32"/>
        <v>17770.176195681681</v>
      </c>
      <c r="O82" s="39">
        <f t="shared" si="32"/>
        <v>85595.209750650785</v>
      </c>
      <c r="P82" s="39">
        <f t="shared" si="32"/>
        <v>38191.024445785755</v>
      </c>
      <c r="Q82" s="39">
        <f t="shared" si="32"/>
        <v>60733.129673867246</v>
      </c>
      <c r="R82" s="39">
        <f t="shared" si="32"/>
        <v>1603.2464905338409</v>
      </c>
      <c r="T82" s="98">
        <f t="shared" si="33"/>
        <v>0</v>
      </c>
    </row>
    <row r="83" spans="1:20" x14ac:dyDescent="0.25">
      <c r="A83" s="22">
        <v>931</v>
      </c>
      <c r="B83" s="16" t="s">
        <v>375</v>
      </c>
      <c r="C83" s="16" t="str">
        <f>INDEX('Alloc Amt'!B:B,MATCH(Expenses!D:D,'Alloc Amt'!D:D,0))</f>
        <v>Adj Total Prod Trans Dist &amp; Cust Exp</v>
      </c>
      <c r="D83" s="19">
        <v>62</v>
      </c>
      <c r="E83" s="48"/>
      <c r="F83" s="49">
        <v>5083694.1010779496</v>
      </c>
      <c r="G83" s="39">
        <f t="shared" si="32"/>
        <v>3164260.2136228848</v>
      </c>
      <c r="H83" s="39">
        <f t="shared" si="32"/>
        <v>623509.88863682549</v>
      </c>
      <c r="I83" s="39">
        <f t="shared" si="32"/>
        <v>522452.42887498828</v>
      </c>
      <c r="J83" s="39">
        <f t="shared" si="32"/>
        <v>309209.75340883451</v>
      </c>
      <c r="K83" s="39">
        <f t="shared" si="32"/>
        <v>241577.90922616771</v>
      </c>
      <c r="L83" s="39">
        <f t="shared" si="32"/>
        <v>1550.1602888859125</v>
      </c>
      <c r="M83" s="39">
        <f t="shared" si="32"/>
        <v>31227.02468943541</v>
      </c>
      <c r="N83" s="39">
        <f t="shared" si="32"/>
        <v>16551.227601236053</v>
      </c>
      <c r="O83" s="39">
        <f t="shared" si="32"/>
        <v>79723.790161564801</v>
      </c>
      <c r="P83" s="39">
        <f t="shared" si="32"/>
        <v>35571.303906383218</v>
      </c>
      <c r="Q83" s="39">
        <f t="shared" si="32"/>
        <v>56567.129166216975</v>
      </c>
      <c r="R83" s="39">
        <f t="shared" si="32"/>
        <v>1493.2714945255841</v>
      </c>
      <c r="T83" s="98">
        <f t="shared" si="33"/>
        <v>0</v>
      </c>
    </row>
    <row r="84" spans="1:20" x14ac:dyDescent="0.25">
      <c r="A84" s="25"/>
      <c r="B84" s="24" t="s">
        <v>188</v>
      </c>
      <c r="C84" s="24"/>
      <c r="D84" s="54"/>
      <c r="E84" s="55"/>
      <c r="F84" s="50">
        <f>SUM(F74:F83)</f>
        <v>111069446.1574917</v>
      </c>
      <c r="G84" s="50">
        <f t="shared" ref="G84:R84" si="34">SUM(G74:G83)</f>
        <v>67537219.99376449</v>
      </c>
      <c r="H84" s="50">
        <f t="shared" si="34"/>
        <v>13657269.981979065</v>
      </c>
      <c r="I84" s="50">
        <f t="shared" si="34"/>
        <v>12071234.629582465</v>
      </c>
      <c r="J84" s="50">
        <f t="shared" si="34"/>
        <v>7125946.2857804457</v>
      </c>
      <c r="K84" s="50">
        <f t="shared" si="34"/>
        <v>5395752.7705392102</v>
      </c>
      <c r="L84" s="50">
        <f t="shared" si="34"/>
        <v>31164.657082908197</v>
      </c>
      <c r="M84" s="50">
        <f t="shared" si="34"/>
        <v>669310.7114022813</v>
      </c>
      <c r="N84" s="50">
        <f t="shared" si="34"/>
        <v>491462.94034495216</v>
      </c>
      <c r="O84" s="50">
        <f t="shared" si="34"/>
        <v>1836268.9009267904</v>
      </c>
      <c r="P84" s="50">
        <f t="shared" si="34"/>
        <v>890660.96744419599</v>
      </c>
      <c r="Q84" s="50">
        <f t="shared" si="34"/>
        <v>1332046.3949147859</v>
      </c>
      <c r="R84" s="50">
        <f t="shared" si="34"/>
        <v>31107.923730086019</v>
      </c>
      <c r="T84" s="98">
        <f t="shared" si="33"/>
        <v>0</v>
      </c>
    </row>
    <row r="85" spans="1:20" x14ac:dyDescent="0.25">
      <c r="A85" s="22"/>
      <c r="B85" s="16"/>
      <c r="C85" s="16"/>
      <c r="E85" s="48"/>
      <c r="F85" s="49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T85" s="98">
        <f t="shared" si="33"/>
        <v>0</v>
      </c>
    </row>
    <row r="86" spans="1:20" x14ac:dyDescent="0.25">
      <c r="A86" s="25"/>
      <c r="B86" s="24" t="s">
        <v>321</v>
      </c>
      <c r="C86" s="24"/>
      <c r="D86" s="54"/>
      <c r="E86" s="55"/>
      <c r="F86" s="50">
        <f t="shared" ref="F86:R86" si="35">SUM(F17,F22,F26,F29,F39,F52,F60,F71,F84)</f>
        <v>1073570183.8110689</v>
      </c>
      <c r="G86" s="50">
        <f t="shared" si="35"/>
        <v>579791414.90275335</v>
      </c>
      <c r="H86" s="50">
        <f t="shared" si="35"/>
        <v>140597208.54004824</v>
      </c>
      <c r="I86" s="50">
        <f t="shared" si="35"/>
        <v>146390823.42789271</v>
      </c>
      <c r="J86" s="50">
        <f t="shared" si="35"/>
        <v>95654464.356378138</v>
      </c>
      <c r="K86" s="50">
        <f t="shared" si="35"/>
        <v>67252816.973165065</v>
      </c>
      <c r="L86" s="50">
        <f t="shared" si="35"/>
        <v>270538.45257537853</v>
      </c>
      <c r="M86" s="50">
        <f t="shared" si="35"/>
        <v>5705397.0898626829</v>
      </c>
      <c r="N86" s="50">
        <f t="shared" si="35"/>
        <v>1166367.7988974643</v>
      </c>
      <c r="O86" s="50">
        <f t="shared" si="35"/>
        <v>28477514.228026945</v>
      </c>
      <c r="P86" s="50">
        <f t="shared" si="35"/>
        <v>2799883.1172141307</v>
      </c>
      <c r="Q86" s="50">
        <f t="shared" si="35"/>
        <v>5143725.2756361347</v>
      </c>
      <c r="R86" s="50">
        <f t="shared" si="35"/>
        <v>320029.64861879894</v>
      </c>
      <c r="T86" s="98">
        <f t="shared" si="33"/>
        <v>0</v>
      </c>
    </row>
    <row r="87" spans="1:20" x14ac:dyDescent="0.25">
      <c r="A87" s="22"/>
      <c r="B87" s="16"/>
      <c r="C87" s="16"/>
      <c r="E87" s="48"/>
      <c r="F87" s="49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T87" s="98">
        <f t="shared" si="33"/>
        <v>0</v>
      </c>
    </row>
    <row r="88" spans="1:20" x14ac:dyDescent="0.25">
      <c r="A88" s="22"/>
      <c r="B88" s="20" t="s">
        <v>376</v>
      </c>
      <c r="C88" s="16"/>
      <c r="E88" s="48"/>
      <c r="F88" s="49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T88" s="98">
        <f t="shared" si="33"/>
        <v>0</v>
      </c>
    </row>
    <row r="89" spans="1:20" x14ac:dyDescent="0.25">
      <c r="A89" s="22">
        <v>591</v>
      </c>
      <c r="B89" s="16" t="s">
        <v>377</v>
      </c>
      <c r="C89" s="16" t="str">
        <f>INDEX('Alloc Amt'!B:B,MATCH(Expenses!D:D,'Alloc Amt'!D:D,0))</f>
        <v>Total Struct and Improvements</v>
      </c>
      <c r="D89" s="19">
        <v>55</v>
      </c>
      <c r="E89" s="48"/>
      <c r="F89" s="49">
        <v>-4.9500000000000401</v>
      </c>
      <c r="G89" s="39">
        <f t="shared" ref="G89:R96" si="36">INDEX(Alloc,($D89),(G$1))*$F89</f>
        <v>-2.3170248352909937</v>
      </c>
      <c r="H89" s="39">
        <f t="shared" si="36"/>
        <v>-0.63784048762427215</v>
      </c>
      <c r="I89" s="39">
        <f t="shared" si="36"/>
        <v>-0.79218455723725789</v>
      </c>
      <c r="J89" s="39">
        <f t="shared" si="36"/>
        <v>-0.46072244973031046</v>
      </c>
      <c r="K89" s="39">
        <f t="shared" si="36"/>
        <v>-0.30246432014979041</v>
      </c>
      <c r="L89" s="39">
        <f t="shared" si="36"/>
        <v>-6.5776992984363989E-7</v>
      </c>
      <c r="M89" s="39">
        <f t="shared" si="36"/>
        <v>-3.7186036328815411E-2</v>
      </c>
      <c r="N89" s="39">
        <f t="shared" si="36"/>
        <v>-0.21934799521229179</v>
      </c>
      <c r="O89" s="39">
        <f t="shared" si="36"/>
        <v>-8.1998327530696677E-2</v>
      </c>
      <c r="P89" s="39">
        <f t="shared" si="36"/>
        <v>-9.7191625756441205E-2</v>
      </c>
      <c r="Q89" s="39">
        <f t="shared" si="36"/>
        <v>-3.5207135494880822E-3</v>
      </c>
      <c r="R89" s="39">
        <f t="shared" si="36"/>
        <v>-5.1799381975186634E-4</v>
      </c>
      <c r="T89" s="98">
        <f t="shared" si="33"/>
        <v>0</v>
      </c>
    </row>
    <row r="90" spans="1:20" x14ac:dyDescent="0.25">
      <c r="A90" s="22">
        <v>592</v>
      </c>
      <c r="B90" s="16" t="s">
        <v>378</v>
      </c>
      <c r="C90" s="16" t="str">
        <f>INDEX('Alloc Amt'!B:B,MATCH(Expenses!D:D,'Alloc Amt'!D:D,0))</f>
        <v>Total Station Equip</v>
      </c>
      <c r="D90" s="19">
        <v>56</v>
      </c>
      <c r="E90" s="48"/>
      <c r="F90" s="49">
        <v>1517580.5299129421</v>
      </c>
      <c r="G90" s="39">
        <f t="shared" si="36"/>
        <v>786999.68047471577</v>
      </c>
      <c r="H90" s="39">
        <f t="shared" si="36"/>
        <v>190276.02151185702</v>
      </c>
      <c r="I90" s="39">
        <f t="shared" si="36"/>
        <v>209073.32046527226</v>
      </c>
      <c r="J90" s="39">
        <f t="shared" si="36"/>
        <v>111246.17308995282</v>
      </c>
      <c r="K90" s="39">
        <f t="shared" si="36"/>
        <v>101149.66350552623</v>
      </c>
      <c r="L90" s="39">
        <f t="shared" si="36"/>
        <v>364.17289023270968</v>
      </c>
      <c r="M90" s="39">
        <f t="shared" si="36"/>
        <v>11373.746617277835</v>
      </c>
      <c r="N90" s="39">
        <f t="shared" si="36"/>
        <v>48828.714919468213</v>
      </c>
      <c r="O90" s="39">
        <f t="shared" si="36"/>
        <v>39657.948865601487</v>
      </c>
      <c r="P90" s="39">
        <f t="shared" si="36"/>
        <v>17085.981765228986</v>
      </c>
      <c r="Q90" s="39">
        <f t="shared" si="36"/>
        <v>1137.3980786020527</v>
      </c>
      <c r="R90" s="39">
        <f t="shared" si="36"/>
        <v>387.70772920688574</v>
      </c>
      <c r="T90" s="98">
        <f t="shared" si="33"/>
        <v>0</v>
      </c>
    </row>
    <row r="91" spans="1:20" x14ac:dyDescent="0.25">
      <c r="A91" s="22">
        <v>593</v>
      </c>
      <c r="B91" s="16" t="s">
        <v>342</v>
      </c>
      <c r="C91" s="16" t="str">
        <f>INDEX('Alloc Amt'!B:B,MATCH(Expenses!D:D,'Alloc Amt'!D:D,0))</f>
        <v>Total OVHD Lines</v>
      </c>
      <c r="D91" s="19">
        <v>57</v>
      </c>
      <c r="E91" s="48"/>
      <c r="F91" s="49">
        <v>35807045.891251087</v>
      </c>
      <c r="G91" s="39">
        <f t="shared" si="36"/>
        <v>24676585.211566951</v>
      </c>
      <c r="H91" s="39">
        <f t="shared" si="36"/>
        <v>4508837.4649111638</v>
      </c>
      <c r="I91" s="39">
        <f t="shared" si="36"/>
        <v>3505303.2202523295</v>
      </c>
      <c r="J91" s="39">
        <f t="shared" si="36"/>
        <v>1386643.0175794782</v>
      </c>
      <c r="K91" s="39">
        <f t="shared" si="36"/>
        <v>1297959.432296243</v>
      </c>
      <c r="L91" s="39">
        <f t="shared" si="36"/>
        <v>32510.12209896386</v>
      </c>
      <c r="M91" s="39">
        <f t="shared" si="36"/>
        <v>349771.5127594276</v>
      </c>
      <c r="N91" s="39">
        <f t="shared" si="36"/>
        <v>3044.2532515009184</v>
      </c>
      <c r="O91" s="39">
        <f t="shared" si="36"/>
        <v>0</v>
      </c>
      <c r="P91" s="39">
        <f t="shared" si="36"/>
        <v>0</v>
      </c>
      <c r="Q91" s="39">
        <f t="shared" si="36"/>
        <v>21685.402240791158</v>
      </c>
      <c r="R91" s="39">
        <f t="shared" si="36"/>
        <v>24706.254294234706</v>
      </c>
      <c r="T91" s="98">
        <f t="shared" si="33"/>
        <v>0</v>
      </c>
    </row>
    <row r="92" spans="1:20" x14ac:dyDescent="0.25">
      <c r="A92" s="22">
        <v>594</v>
      </c>
      <c r="B92" s="16" t="s">
        <v>343</v>
      </c>
      <c r="C92" s="16" t="str">
        <f>INDEX('Alloc Amt'!B:B,MATCH(Expenses!D:D,'Alloc Amt'!D:D,0))</f>
        <v>Total UNGD Lines</v>
      </c>
      <c r="D92" s="19">
        <v>58</v>
      </c>
      <c r="E92" s="48"/>
      <c r="F92" s="49">
        <v>12335802.999784056</v>
      </c>
      <c r="G92" s="39">
        <f t="shared" si="36"/>
        <v>8164260.3167417655</v>
      </c>
      <c r="H92" s="39">
        <f t="shared" si="36"/>
        <v>1454771.3082630883</v>
      </c>
      <c r="I92" s="39">
        <f t="shared" si="36"/>
        <v>1357561.9783692267</v>
      </c>
      <c r="J92" s="39">
        <f t="shared" si="36"/>
        <v>589415.77848515729</v>
      </c>
      <c r="K92" s="39">
        <f t="shared" si="36"/>
        <v>420418.32093329163</v>
      </c>
      <c r="L92" s="39">
        <f t="shared" si="36"/>
        <v>4992.805928954529</v>
      </c>
      <c r="M92" s="39">
        <f t="shared" si="36"/>
        <v>130907.76219988969</v>
      </c>
      <c r="N92" s="39">
        <f t="shared" si="36"/>
        <v>164408.62892545509</v>
      </c>
      <c r="O92" s="39">
        <f t="shared" si="36"/>
        <v>39911.38969979564</v>
      </c>
      <c r="P92" s="39">
        <f t="shared" si="36"/>
        <v>239.84471127403702</v>
      </c>
      <c r="Q92" s="39">
        <f t="shared" si="36"/>
        <v>5594.3488119610984</v>
      </c>
      <c r="R92" s="39">
        <f t="shared" si="36"/>
        <v>3320.5167141962643</v>
      </c>
      <c r="T92" s="98">
        <f t="shared" si="33"/>
        <v>0</v>
      </c>
    </row>
    <row r="93" spans="1:20" x14ac:dyDescent="0.25">
      <c r="A93" s="22">
        <v>595</v>
      </c>
      <c r="B93" s="16" t="s">
        <v>379</v>
      </c>
      <c r="C93" s="16" t="str">
        <f>INDEX('Alloc Amt'!B:B,MATCH(Expenses!D:D,'Alloc Amt'!D:D,0))</f>
        <v>Total Transformers</v>
      </c>
      <c r="D93" s="19">
        <v>59</v>
      </c>
      <c r="E93" s="48"/>
      <c r="F93" s="49">
        <v>174095.19128056592</v>
      </c>
      <c r="G93" s="39">
        <f t="shared" si="36"/>
        <v>133811.12333256874</v>
      </c>
      <c r="H93" s="39">
        <f t="shared" si="36"/>
        <v>21101.428452788619</v>
      </c>
      <c r="I93" s="39">
        <f t="shared" si="36"/>
        <v>7612.5851484937657</v>
      </c>
      <c r="J93" s="39">
        <f t="shared" si="36"/>
        <v>1816.8313499204373</v>
      </c>
      <c r="K93" s="39">
        <f t="shared" si="36"/>
        <v>873.95922458193309</v>
      </c>
      <c r="L93" s="39">
        <f t="shared" si="36"/>
        <v>0</v>
      </c>
      <c r="M93" s="39">
        <f t="shared" si="36"/>
        <v>50.087887975107023</v>
      </c>
      <c r="N93" s="39">
        <f t="shared" si="36"/>
        <v>1696.3875406277702</v>
      </c>
      <c r="O93" s="39">
        <f t="shared" si="36"/>
        <v>0</v>
      </c>
      <c r="P93" s="39">
        <f t="shared" si="36"/>
        <v>0</v>
      </c>
      <c r="Q93" s="39">
        <f t="shared" si="36"/>
        <v>7112.2259756132007</v>
      </c>
      <c r="R93" s="39">
        <f t="shared" si="36"/>
        <v>20.562367996360308</v>
      </c>
      <c r="T93" s="98">
        <f t="shared" si="33"/>
        <v>0</v>
      </c>
    </row>
    <row r="94" spans="1:20" x14ac:dyDescent="0.25">
      <c r="A94" s="22">
        <v>596</v>
      </c>
      <c r="B94" s="16" t="s">
        <v>344</v>
      </c>
      <c r="C94" s="16" t="str">
        <f>INDEX('Alloc Amt'!B:B,MATCH(Expenses!D:D,'Alloc Amt'!D:D,0))</f>
        <v>Str. &amp; Signal Systems</v>
      </c>
      <c r="D94" s="19">
        <v>12</v>
      </c>
      <c r="E94" s="48"/>
      <c r="F94" s="49">
        <v>2000850.553615283</v>
      </c>
      <c r="G94" s="39">
        <f t="shared" si="36"/>
        <v>0</v>
      </c>
      <c r="H94" s="39">
        <f t="shared" si="36"/>
        <v>0</v>
      </c>
      <c r="I94" s="39">
        <f t="shared" si="36"/>
        <v>0</v>
      </c>
      <c r="J94" s="39">
        <f t="shared" si="36"/>
        <v>0</v>
      </c>
      <c r="K94" s="39">
        <f t="shared" si="36"/>
        <v>0</v>
      </c>
      <c r="L94" s="39">
        <f t="shared" si="36"/>
        <v>0</v>
      </c>
      <c r="M94" s="39">
        <f t="shared" si="36"/>
        <v>0</v>
      </c>
      <c r="N94" s="39">
        <f t="shared" si="36"/>
        <v>0</v>
      </c>
      <c r="O94" s="39">
        <f t="shared" si="36"/>
        <v>0</v>
      </c>
      <c r="P94" s="39">
        <f t="shared" si="36"/>
        <v>0</v>
      </c>
      <c r="Q94" s="39">
        <f t="shared" si="36"/>
        <v>2000850.553615283</v>
      </c>
      <c r="R94" s="39">
        <f t="shared" si="36"/>
        <v>0</v>
      </c>
      <c r="T94" s="98">
        <f t="shared" si="33"/>
        <v>0</v>
      </c>
    </row>
    <row r="95" spans="1:20" x14ac:dyDescent="0.25">
      <c r="A95" s="22">
        <v>597</v>
      </c>
      <c r="B95" s="16" t="s">
        <v>380</v>
      </c>
      <c r="C95" s="16" t="str">
        <f>INDEX('Alloc Amt'!B:B,MATCH(Expenses!D:D,'Alloc Amt'!D:D,0))</f>
        <v>Meter Investment</v>
      </c>
      <c r="D95" s="19">
        <v>19</v>
      </c>
      <c r="E95" s="48"/>
      <c r="F95" s="49">
        <v>532950.46671577066</v>
      </c>
      <c r="G95" s="39">
        <f t="shared" si="36"/>
        <v>346005.28157058597</v>
      </c>
      <c r="H95" s="39">
        <f t="shared" si="36"/>
        <v>97118.645898711315</v>
      </c>
      <c r="I95" s="39">
        <f t="shared" si="36"/>
        <v>28702.065652725109</v>
      </c>
      <c r="J95" s="39">
        <f t="shared" si="36"/>
        <v>3225.865986024141</v>
      </c>
      <c r="K95" s="39">
        <f t="shared" si="36"/>
        <v>38638.781125996007</v>
      </c>
      <c r="L95" s="39">
        <f t="shared" si="36"/>
        <v>125.27910277462107</v>
      </c>
      <c r="M95" s="39">
        <f t="shared" si="36"/>
        <v>12487.346498412075</v>
      </c>
      <c r="N95" s="39">
        <f t="shared" si="36"/>
        <v>2525.5839784453915</v>
      </c>
      <c r="O95" s="39">
        <f t="shared" si="36"/>
        <v>1568.3816342540404</v>
      </c>
      <c r="P95" s="39">
        <f t="shared" si="36"/>
        <v>2525.0809129067861</v>
      </c>
      <c r="Q95" s="39">
        <f t="shared" si="36"/>
        <v>0</v>
      </c>
      <c r="R95" s="39">
        <f t="shared" si="36"/>
        <v>28.15435493514163</v>
      </c>
      <c r="T95" s="98">
        <f t="shared" si="33"/>
        <v>0</v>
      </c>
    </row>
    <row r="96" spans="1:20" s="62" customFormat="1" x14ac:dyDescent="0.25">
      <c r="A96" s="22">
        <v>590</v>
      </c>
      <c r="B96" s="16" t="s">
        <v>381</v>
      </c>
      <c r="C96" s="16" t="str">
        <f>INDEX('Alloc Amt'!B:B,MATCH(Expenses!D:D,'Alloc Amt'!D:D,0))</f>
        <v>Dist O&amp;M - ID591.00 to ID597.00 Subtotal</v>
      </c>
      <c r="D96" s="62">
        <v>66</v>
      </c>
      <c r="E96" s="63"/>
      <c r="F96" s="49">
        <v>541367.62414587464</v>
      </c>
      <c r="G96" s="65">
        <f t="shared" si="36"/>
        <v>352594.51206271112</v>
      </c>
      <c r="H96" s="65">
        <f t="shared" si="36"/>
        <v>64839.088246136678</v>
      </c>
      <c r="I96" s="65">
        <f t="shared" si="36"/>
        <v>52807.545042700454</v>
      </c>
      <c r="J96" s="65">
        <f t="shared" si="36"/>
        <v>21630.043142707858</v>
      </c>
      <c r="K96" s="65">
        <f t="shared" si="36"/>
        <v>19218.183362981246</v>
      </c>
      <c r="L96" s="65">
        <f t="shared" si="36"/>
        <v>392.75356244274974</v>
      </c>
      <c r="M96" s="65">
        <f t="shared" si="36"/>
        <v>5216.300859367082</v>
      </c>
      <c r="N96" s="65">
        <f t="shared" si="36"/>
        <v>2279.4959386373966</v>
      </c>
      <c r="O96" s="65">
        <f t="shared" si="36"/>
        <v>838.77599757531721</v>
      </c>
      <c r="P96" s="65">
        <f t="shared" si="36"/>
        <v>205.21158238560824</v>
      </c>
      <c r="Q96" s="65">
        <f t="shared" si="36"/>
        <v>21051.470576024287</v>
      </c>
      <c r="R96" s="65">
        <f t="shared" si="36"/>
        <v>294.2437722047232</v>
      </c>
      <c r="T96" s="98">
        <f t="shared" si="33"/>
        <v>0</v>
      </c>
    </row>
    <row r="97" spans="1:20" x14ac:dyDescent="0.25">
      <c r="A97" s="25"/>
      <c r="B97" s="24" t="s">
        <v>188</v>
      </c>
      <c r="C97" s="24"/>
      <c r="D97" s="54"/>
      <c r="E97" s="55"/>
      <c r="F97" s="50">
        <f>SUM(F89:F96)</f>
        <v>52909688.306705572</v>
      </c>
      <c r="G97" s="50">
        <f t="shared" ref="G97:R97" si="37">SUM(G89:G96)</f>
        <v>34460253.808724463</v>
      </c>
      <c r="H97" s="50">
        <f t="shared" si="37"/>
        <v>6336943.3194432585</v>
      </c>
      <c r="I97" s="50">
        <f t="shared" si="37"/>
        <v>5161059.9227461899</v>
      </c>
      <c r="J97" s="50">
        <f t="shared" si="37"/>
        <v>2113977.2489107908</v>
      </c>
      <c r="K97" s="50">
        <f t="shared" si="37"/>
        <v>1878258.0379843002</v>
      </c>
      <c r="L97" s="50">
        <f t="shared" si="37"/>
        <v>38385.133582710696</v>
      </c>
      <c r="M97" s="50">
        <f t="shared" si="37"/>
        <v>509806.71963631304</v>
      </c>
      <c r="N97" s="50">
        <f t="shared" si="37"/>
        <v>222782.84520613958</v>
      </c>
      <c r="O97" s="50">
        <f t="shared" si="37"/>
        <v>81976.414198898943</v>
      </c>
      <c r="P97" s="50">
        <f t="shared" si="37"/>
        <v>20056.02178016966</v>
      </c>
      <c r="Q97" s="50">
        <f t="shared" si="37"/>
        <v>2057431.3957775612</v>
      </c>
      <c r="R97" s="50">
        <f t="shared" si="37"/>
        <v>28757.438714780259</v>
      </c>
      <c r="T97" s="98">
        <f t="shared" si="33"/>
        <v>0</v>
      </c>
    </row>
    <row r="98" spans="1:20" x14ac:dyDescent="0.25">
      <c r="A98" s="22"/>
      <c r="B98" s="16"/>
      <c r="C98" s="16"/>
      <c r="E98" s="48"/>
      <c r="F98" s="49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98">
        <f t="shared" si="33"/>
        <v>0</v>
      </c>
    </row>
    <row r="99" spans="1:20" x14ac:dyDescent="0.25">
      <c r="A99" s="22"/>
      <c r="B99" s="20" t="s">
        <v>382</v>
      </c>
      <c r="C99" s="16"/>
      <c r="E99" s="48"/>
      <c r="F99" s="49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98">
        <f t="shared" si="33"/>
        <v>0</v>
      </c>
    </row>
    <row r="100" spans="1:20" x14ac:dyDescent="0.25">
      <c r="A100" s="22">
        <v>935</v>
      </c>
      <c r="B100" s="16" t="s">
        <v>383</v>
      </c>
      <c r="C100" s="16" t="str">
        <f>INDEX('Alloc Amt'!B:B,MATCH(Expenses!D:D,'Alloc Amt'!D:D,0))</f>
        <v>Total General Plant</v>
      </c>
      <c r="D100" s="19">
        <v>70</v>
      </c>
      <c r="E100" s="48"/>
      <c r="F100" s="49">
        <v>16720545.192083759</v>
      </c>
      <c r="G100" s="39">
        <f t="shared" ref="G100:R100" si="38">INDEX(Alloc,($D100),(G$1))*$F100</f>
        <v>10040218.973036859</v>
      </c>
      <c r="H100" s="39">
        <f t="shared" si="38"/>
        <v>2033993.4476450486</v>
      </c>
      <c r="I100" s="39">
        <f t="shared" si="38"/>
        <v>1856838.1642612759</v>
      </c>
      <c r="J100" s="39">
        <f t="shared" si="38"/>
        <v>1092202.5612173164</v>
      </c>
      <c r="K100" s="39">
        <f t="shared" si="38"/>
        <v>807539.18892886152</v>
      </c>
      <c r="L100" s="39">
        <f t="shared" si="38"/>
        <v>4556.1626042372791</v>
      </c>
      <c r="M100" s="39">
        <f t="shared" si="38"/>
        <v>99596.43752134798</v>
      </c>
      <c r="N100" s="39">
        <f t="shared" si="38"/>
        <v>103174.32035462261</v>
      </c>
      <c r="O100" s="39">
        <f t="shared" si="38"/>
        <v>282735.64535723988</v>
      </c>
      <c r="P100" s="39">
        <f t="shared" si="38"/>
        <v>161938.0196366233</v>
      </c>
      <c r="Q100" s="39">
        <f t="shared" si="38"/>
        <v>233059.96622691076</v>
      </c>
      <c r="R100" s="39">
        <f t="shared" si="38"/>
        <v>4692.3052934146181</v>
      </c>
      <c r="T100" s="98">
        <f t="shared" si="33"/>
        <v>0</v>
      </c>
    </row>
    <row r="101" spans="1:20" x14ac:dyDescent="0.25">
      <c r="A101" s="25"/>
      <c r="B101" s="24" t="s">
        <v>188</v>
      </c>
      <c r="C101" s="24"/>
      <c r="D101" s="54"/>
      <c r="E101" s="55"/>
      <c r="F101" s="50">
        <f>SUM(F100)</f>
        <v>16720545.192083759</v>
      </c>
      <c r="G101" s="50">
        <f t="shared" ref="G101:R101" si="39">SUM(G100)</f>
        <v>10040218.973036859</v>
      </c>
      <c r="H101" s="50">
        <f t="shared" si="39"/>
        <v>2033993.4476450486</v>
      </c>
      <c r="I101" s="50">
        <f t="shared" si="39"/>
        <v>1856838.1642612759</v>
      </c>
      <c r="J101" s="50">
        <f t="shared" si="39"/>
        <v>1092202.5612173164</v>
      </c>
      <c r="K101" s="50">
        <f t="shared" si="39"/>
        <v>807539.18892886152</v>
      </c>
      <c r="L101" s="50">
        <f t="shared" si="39"/>
        <v>4556.1626042372791</v>
      </c>
      <c r="M101" s="50">
        <f t="shared" si="39"/>
        <v>99596.43752134798</v>
      </c>
      <c r="N101" s="50">
        <f t="shared" si="39"/>
        <v>103174.32035462261</v>
      </c>
      <c r="O101" s="50">
        <f t="shared" si="39"/>
        <v>282735.64535723988</v>
      </c>
      <c r="P101" s="50">
        <f t="shared" si="39"/>
        <v>161938.0196366233</v>
      </c>
      <c r="Q101" s="50">
        <f t="shared" si="39"/>
        <v>233059.96622691076</v>
      </c>
      <c r="R101" s="50">
        <f t="shared" si="39"/>
        <v>4692.3052934146181</v>
      </c>
      <c r="T101" s="98">
        <f t="shared" si="33"/>
        <v>0</v>
      </c>
    </row>
    <row r="102" spans="1:20" x14ac:dyDescent="0.25">
      <c r="A102" s="22"/>
      <c r="B102" s="16"/>
      <c r="C102" s="16"/>
      <c r="E102" s="48"/>
      <c r="F102" s="49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98">
        <f t="shared" si="33"/>
        <v>0</v>
      </c>
    </row>
    <row r="103" spans="1:20" x14ac:dyDescent="0.25">
      <c r="A103" s="25"/>
      <c r="B103" s="24" t="s">
        <v>384</v>
      </c>
      <c r="C103" s="24"/>
      <c r="D103" s="54"/>
      <c r="E103" s="55"/>
      <c r="F103" s="50">
        <f>F97+F101</f>
        <v>69630233.498789325</v>
      </c>
      <c r="G103" s="50">
        <f t="shared" ref="G103:R103" si="40">G97+G101</f>
        <v>44500472.781761318</v>
      </c>
      <c r="H103" s="50">
        <f t="shared" si="40"/>
        <v>8370936.7670883071</v>
      </c>
      <c r="I103" s="50">
        <f t="shared" si="40"/>
        <v>7017898.0870074658</v>
      </c>
      <c r="J103" s="50">
        <f t="shared" si="40"/>
        <v>3206179.8101281072</v>
      </c>
      <c r="K103" s="50">
        <f t="shared" si="40"/>
        <v>2685797.2269131616</v>
      </c>
      <c r="L103" s="50">
        <f t="shared" si="40"/>
        <v>42941.296186947977</v>
      </c>
      <c r="M103" s="50">
        <f t="shared" si="40"/>
        <v>609403.15715766104</v>
      </c>
      <c r="N103" s="50">
        <f t="shared" si="40"/>
        <v>325957.16556076217</v>
      </c>
      <c r="O103" s="50">
        <f t="shared" si="40"/>
        <v>364712.05955613882</v>
      </c>
      <c r="P103" s="50">
        <f t="shared" si="40"/>
        <v>181994.04141679296</v>
      </c>
      <c r="Q103" s="50">
        <f t="shared" si="40"/>
        <v>2290491.3620044719</v>
      </c>
      <c r="R103" s="50">
        <f t="shared" si="40"/>
        <v>33449.744008194873</v>
      </c>
      <c r="T103" s="98">
        <f t="shared" si="33"/>
        <v>0</v>
      </c>
    </row>
    <row r="104" spans="1:20" x14ac:dyDescent="0.25">
      <c r="A104" s="22"/>
      <c r="B104" s="16"/>
      <c r="C104" s="16"/>
      <c r="E104" s="48"/>
      <c r="F104" s="49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98">
        <f t="shared" si="33"/>
        <v>0</v>
      </c>
    </row>
    <row r="105" spans="1:20" x14ac:dyDescent="0.25">
      <c r="A105" s="25"/>
      <c r="B105" s="24" t="s">
        <v>385</v>
      </c>
      <c r="C105" s="24"/>
      <c r="D105" s="54"/>
      <c r="E105" s="50"/>
      <c r="F105" s="69">
        <f>SUM(F86,F103)</f>
        <v>1143200417.3098583</v>
      </c>
      <c r="G105" s="69">
        <f t="shared" ref="G105:R105" si="41">SUM(G86,G103)</f>
        <v>624291887.68451464</v>
      </c>
      <c r="H105" s="69">
        <f t="shared" si="41"/>
        <v>148968145.30713654</v>
      </c>
      <c r="I105" s="69">
        <f t="shared" si="41"/>
        <v>153408721.51490018</v>
      </c>
      <c r="J105" s="69">
        <f t="shared" si="41"/>
        <v>98860644.166506246</v>
      </c>
      <c r="K105" s="69">
        <f t="shared" si="41"/>
        <v>69938614.200078219</v>
      </c>
      <c r="L105" s="69">
        <f t="shared" si="41"/>
        <v>313479.74876232649</v>
      </c>
      <c r="M105" s="69">
        <f t="shared" si="41"/>
        <v>6314800.2470203442</v>
      </c>
      <c r="N105" s="69">
        <f t="shared" si="41"/>
        <v>1492324.9644582265</v>
      </c>
      <c r="O105" s="69">
        <f t="shared" si="41"/>
        <v>28842226.287583083</v>
      </c>
      <c r="P105" s="69">
        <f t="shared" si="41"/>
        <v>2981877.1586309238</v>
      </c>
      <c r="Q105" s="69">
        <f t="shared" si="41"/>
        <v>7434216.6376406066</v>
      </c>
      <c r="R105" s="69">
        <f t="shared" si="41"/>
        <v>353479.39262699382</v>
      </c>
      <c r="T105" s="98">
        <f t="shared" si="33"/>
        <v>0</v>
      </c>
    </row>
    <row r="106" spans="1:20" x14ac:dyDescent="0.25">
      <c r="A106" s="22"/>
      <c r="B106" s="16"/>
      <c r="C106" s="16"/>
      <c r="E106" s="48"/>
      <c r="F106" s="49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98">
        <f t="shared" si="33"/>
        <v>0</v>
      </c>
    </row>
    <row r="107" spans="1:20" x14ac:dyDescent="0.25">
      <c r="A107" s="22"/>
      <c r="B107" s="20" t="s">
        <v>386</v>
      </c>
      <c r="C107" s="16"/>
      <c r="E107" s="48"/>
      <c r="F107" s="49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98">
        <f t="shared" si="33"/>
        <v>0</v>
      </c>
    </row>
    <row r="108" spans="1:20" x14ac:dyDescent="0.25">
      <c r="A108" s="22">
        <v>403.01</v>
      </c>
      <c r="B108" s="16" t="s">
        <v>387</v>
      </c>
      <c r="C108" s="16" t="str">
        <f>INDEX('Alloc Amt'!B:B,MATCH(Expenses!D:D,'Alloc Amt'!D:D,0))</f>
        <v>Prob. Of Dispatch - Gen. Depr. Exp. - TY Loads</v>
      </c>
      <c r="D108" s="19">
        <v>90</v>
      </c>
      <c r="E108" s="48"/>
      <c r="F108" s="49">
        <v>42426879.411666438</v>
      </c>
      <c r="G108" s="39">
        <f t="shared" ref="G108:R110" si="42">INDEX(Alloc,($D108),(G$1))*$F108</f>
        <v>21685951.372291047</v>
      </c>
      <c r="H108" s="39">
        <f t="shared" si="42"/>
        <v>5678433.5132503863</v>
      </c>
      <c r="I108" s="39">
        <f t="shared" si="42"/>
        <v>6312222.7744513061</v>
      </c>
      <c r="J108" s="39">
        <f t="shared" si="42"/>
        <v>4173146.5954407672</v>
      </c>
      <c r="K108" s="39">
        <f t="shared" si="42"/>
        <v>2887152.8270398728</v>
      </c>
      <c r="L108" s="39">
        <f t="shared" si="42"/>
        <v>9961.035283577874</v>
      </c>
      <c r="M108" s="39">
        <f t="shared" si="42"/>
        <v>225288.65197483715</v>
      </c>
      <c r="N108" s="39">
        <f t="shared" si="42"/>
        <v>0</v>
      </c>
      <c r="O108" s="39">
        <f t="shared" si="42"/>
        <v>1276567.1179448531</v>
      </c>
      <c r="P108" s="39">
        <f t="shared" si="42"/>
        <v>0</v>
      </c>
      <c r="Q108" s="39">
        <f t="shared" si="42"/>
        <v>163862.0131962664</v>
      </c>
      <c r="R108" s="39">
        <f t="shared" si="42"/>
        <v>14293.510793510239</v>
      </c>
      <c r="T108" s="98">
        <f t="shared" si="33"/>
        <v>0</v>
      </c>
    </row>
    <row r="109" spans="1:20" x14ac:dyDescent="0.25">
      <c r="A109" s="22">
        <v>403.02</v>
      </c>
      <c r="B109" s="16" t="s">
        <v>388</v>
      </c>
      <c r="C109" s="16" t="str">
        <f>INDEX('Alloc Amt'!B:B,MATCH(Expenses!D:D,'Alloc Amt'!D:D,0))</f>
        <v>Prob. Of Dispatch - Gen. Depr. Exp. - TY Loads</v>
      </c>
      <c r="D109" s="19">
        <v>90</v>
      </c>
      <c r="E109" s="48"/>
      <c r="F109" s="49">
        <v>19269085.490000002</v>
      </c>
      <c r="G109" s="39">
        <f t="shared" si="42"/>
        <v>9849144.1444490161</v>
      </c>
      <c r="H109" s="39">
        <f t="shared" si="42"/>
        <v>2578983.4730577711</v>
      </c>
      <c r="I109" s="39">
        <f t="shared" si="42"/>
        <v>2866832.5825392073</v>
      </c>
      <c r="J109" s="39">
        <f t="shared" si="42"/>
        <v>1895324.841820417</v>
      </c>
      <c r="K109" s="39">
        <f t="shared" si="42"/>
        <v>1311262.940343162</v>
      </c>
      <c r="L109" s="39">
        <f t="shared" si="42"/>
        <v>4524.0197513887688</v>
      </c>
      <c r="M109" s="39">
        <f t="shared" si="42"/>
        <v>102319.71700554267</v>
      </c>
      <c r="N109" s="39">
        <f t="shared" si="42"/>
        <v>0</v>
      </c>
      <c r="O109" s="39">
        <f t="shared" si="42"/>
        <v>579780.58416048193</v>
      </c>
      <c r="P109" s="39">
        <f t="shared" si="42"/>
        <v>0</v>
      </c>
      <c r="Q109" s="39">
        <f t="shared" si="42"/>
        <v>74421.479605076311</v>
      </c>
      <c r="R109" s="39">
        <f t="shared" si="42"/>
        <v>6491.7072679319299</v>
      </c>
      <c r="T109" s="98">
        <f t="shared" si="33"/>
        <v>0</v>
      </c>
    </row>
    <row r="110" spans="1:20" x14ac:dyDescent="0.25">
      <c r="A110" s="22">
        <v>403.03</v>
      </c>
      <c r="B110" s="16" t="s">
        <v>389</v>
      </c>
      <c r="C110" s="16" t="str">
        <f>INDEX('Alloc Amt'!B:B,MATCH(Expenses!D:D,'Alloc Amt'!D:D,0))</f>
        <v>Prob. Of Dispatch - Gen. Depr. Exp. - TY Loads</v>
      </c>
      <c r="D110" s="19">
        <v>90</v>
      </c>
      <c r="E110" s="48"/>
      <c r="F110" s="49">
        <v>74989413.669999972</v>
      </c>
      <c r="G110" s="39">
        <f t="shared" si="42"/>
        <v>38329870.139755405</v>
      </c>
      <c r="H110" s="39">
        <f t="shared" si="42"/>
        <v>10036618.427459288</v>
      </c>
      <c r="I110" s="39">
        <f t="shared" si="42"/>
        <v>11156839.517175598</v>
      </c>
      <c r="J110" s="39">
        <f t="shared" si="42"/>
        <v>7376027.1952739414</v>
      </c>
      <c r="K110" s="39">
        <f t="shared" si="42"/>
        <v>5103036.1100719711</v>
      </c>
      <c r="L110" s="39">
        <f t="shared" si="42"/>
        <v>17606.107397478921</v>
      </c>
      <c r="M110" s="39">
        <f t="shared" si="42"/>
        <v>398197.18424664944</v>
      </c>
      <c r="N110" s="39">
        <f t="shared" si="42"/>
        <v>0</v>
      </c>
      <c r="O110" s="39">
        <f t="shared" si="42"/>
        <v>2256329.5017819037</v>
      </c>
      <c r="P110" s="39">
        <f t="shared" si="42"/>
        <v>0</v>
      </c>
      <c r="Q110" s="39">
        <f t="shared" si="42"/>
        <v>289625.73874794372</v>
      </c>
      <c r="R110" s="39">
        <f t="shared" si="42"/>
        <v>25263.748089764314</v>
      </c>
      <c r="T110" s="98">
        <f t="shared" si="33"/>
        <v>0</v>
      </c>
    </row>
    <row r="111" spans="1:20" s="62" customFormat="1" x14ac:dyDescent="0.25">
      <c r="A111" s="22" t="s">
        <v>390</v>
      </c>
      <c r="B111" s="16" t="s">
        <v>391</v>
      </c>
      <c r="C111" s="16" t="str">
        <f>INDEX('Alloc Amt'!B:B,MATCH(Expenses!D:D,'Alloc Amt'!D:D,0))</f>
        <v>Hourly Trans. Depr. Exp. - TY Loads</v>
      </c>
      <c r="D111" s="62">
        <v>94</v>
      </c>
      <c r="E111" s="64"/>
      <c r="F111" s="49">
        <v>28661894.716571223</v>
      </c>
      <c r="G111" s="65">
        <f t="shared" ref="G111:R111" si="43">INDEX(Alloc,($D111),(G$1))*$F111</f>
        <v>13376079.939112242</v>
      </c>
      <c r="H111" s="65">
        <f t="shared" si="43"/>
        <v>3417941.3770072805</v>
      </c>
      <c r="I111" s="65">
        <f t="shared" si="43"/>
        <v>3804689.5120153883</v>
      </c>
      <c r="J111" s="65">
        <f t="shared" si="43"/>
        <v>2474157.8563426733</v>
      </c>
      <c r="K111" s="65">
        <f t="shared" si="43"/>
        <v>1719806.5741619221</v>
      </c>
      <c r="L111" s="65">
        <f t="shared" si="43"/>
        <v>5376.0602037565322</v>
      </c>
      <c r="M111" s="65">
        <f t="shared" si="43"/>
        <v>140852.29200485459</v>
      </c>
      <c r="N111" s="65">
        <f t="shared" si="43"/>
        <v>426968.12842086004</v>
      </c>
      <c r="O111" s="65">
        <f t="shared" si="43"/>
        <v>753698.30339559016</v>
      </c>
      <c r="P111" s="65">
        <f t="shared" si="43"/>
        <v>2443601.5814818661</v>
      </c>
      <c r="Q111" s="65">
        <f t="shared" si="43"/>
        <v>89989.201546461394</v>
      </c>
      <c r="R111" s="65">
        <f t="shared" si="43"/>
        <v>8733.8908783321458</v>
      </c>
      <c r="T111" s="98">
        <f t="shared" si="33"/>
        <v>0</v>
      </c>
    </row>
    <row r="112" spans="1:20" s="62" customFormat="1" x14ac:dyDescent="0.25">
      <c r="A112" s="22"/>
      <c r="B112" s="13"/>
      <c r="C112" s="16"/>
      <c r="E112" s="64"/>
      <c r="F112" s="49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T112" s="98"/>
    </row>
    <row r="113" spans="1:20" s="62" customFormat="1" x14ac:dyDescent="0.25">
      <c r="A113" s="22" t="s">
        <v>392</v>
      </c>
      <c r="B113" s="16" t="s">
        <v>393</v>
      </c>
      <c r="C113" s="16" t="str">
        <f>INDEX('Alloc Amt'!B:B,MATCH(Expenses!D:D,'Alloc Amt'!D:D,0))</f>
        <v>Prob. Of Dispatch - Gen. Depr. Exp. - TY Loads</v>
      </c>
      <c r="D113" s="62">
        <v>90</v>
      </c>
      <c r="E113" s="64"/>
      <c r="F113" s="63">
        <v>3536313.4800000051</v>
      </c>
      <c r="G113" s="65">
        <f t="shared" ref="G113:R115" si="44">INDEX(Alloc,($D113),(G$1))*$F113</f>
        <v>1807540.9558255153</v>
      </c>
      <c r="H113" s="65">
        <f t="shared" si="44"/>
        <v>473301.86091106629</v>
      </c>
      <c r="I113" s="65">
        <f t="shared" si="44"/>
        <v>526128.69000959652</v>
      </c>
      <c r="J113" s="65">
        <f t="shared" si="44"/>
        <v>347835.02261105058</v>
      </c>
      <c r="K113" s="65">
        <f t="shared" si="44"/>
        <v>240646.43930125437</v>
      </c>
      <c r="L113" s="65">
        <f t="shared" si="44"/>
        <v>830.26005769318806</v>
      </c>
      <c r="M113" s="65">
        <f t="shared" si="44"/>
        <v>18777.984803911226</v>
      </c>
      <c r="N113" s="65">
        <f t="shared" si="44"/>
        <v>0</v>
      </c>
      <c r="O113" s="65">
        <f t="shared" si="44"/>
        <v>106402.86464414815</v>
      </c>
      <c r="P113" s="65">
        <f t="shared" si="44"/>
        <v>0</v>
      </c>
      <c r="Q113" s="65">
        <f t="shared" si="44"/>
        <v>13658.02656620923</v>
      </c>
      <c r="R113" s="65">
        <f t="shared" si="44"/>
        <v>1191.3752695588712</v>
      </c>
      <c r="T113" s="98">
        <f t="shared" si="33"/>
        <v>0</v>
      </c>
    </row>
    <row r="114" spans="1:20" s="62" customFormat="1" x14ac:dyDescent="0.25">
      <c r="A114" s="22"/>
      <c r="B114" s="20"/>
      <c r="C114" s="16"/>
      <c r="E114" s="64"/>
      <c r="F114" s="63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T114" s="98"/>
    </row>
    <row r="115" spans="1:20" s="62" customFormat="1" x14ac:dyDescent="0.25">
      <c r="A115" s="22" t="s">
        <v>394</v>
      </c>
      <c r="B115" s="16" t="s">
        <v>395</v>
      </c>
      <c r="C115" s="16" t="str">
        <f>INDEX('Alloc Amt'!B:B,MATCH(Expenses!D:D,'Alloc Amt'!D:D,0))</f>
        <v>Schedule 449 / 459 Retail Revenue</v>
      </c>
      <c r="D115" s="62">
        <v>6</v>
      </c>
      <c r="E115" s="63"/>
      <c r="F115" s="49">
        <v>9969.1200000000008</v>
      </c>
      <c r="G115" s="65">
        <f t="shared" si="44"/>
        <v>0</v>
      </c>
      <c r="H115" s="65">
        <f t="shared" si="44"/>
        <v>0</v>
      </c>
      <c r="I115" s="65">
        <f t="shared" si="44"/>
        <v>0</v>
      </c>
      <c r="J115" s="65">
        <f t="shared" si="44"/>
        <v>0</v>
      </c>
      <c r="K115" s="65">
        <f t="shared" si="44"/>
        <v>0</v>
      </c>
      <c r="L115" s="65"/>
      <c r="M115" s="65"/>
      <c r="N115" s="65">
        <f t="shared" si="44"/>
        <v>0</v>
      </c>
      <c r="O115" s="65">
        <f t="shared" si="44"/>
        <v>0</v>
      </c>
      <c r="P115" s="65">
        <f t="shared" si="44"/>
        <v>9969.1200000000008</v>
      </c>
      <c r="Q115" s="65">
        <f t="shared" si="44"/>
        <v>0</v>
      </c>
      <c r="R115" s="65">
        <f t="shared" si="44"/>
        <v>0</v>
      </c>
      <c r="T115" s="98">
        <f t="shared" si="33"/>
        <v>0</v>
      </c>
    </row>
    <row r="116" spans="1:20" s="62" customFormat="1" x14ac:dyDescent="0.25">
      <c r="A116" s="22"/>
      <c r="B116" s="16"/>
      <c r="C116" s="16"/>
      <c r="E116" s="63"/>
      <c r="F116" s="49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T116" s="98"/>
    </row>
    <row r="117" spans="1:20" s="62" customFormat="1" x14ac:dyDescent="0.25">
      <c r="A117" s="22" t="s">
        <v>396</v>
      </c>
      <c r="B117" s="16" t="s">
        <v>397</v>
      </c>
      <c r="C117" s="16" t="str">
        <f>INDEX('Alloc Amt'!B:B,MATCH(Expenses!D:D,'Alloc Amt'!D:D,0))</f>
        <v>Prob. Of Dispatch - Gen. Depr. Exp. - TY Loads</v>
      </c>
      <c r="D117" s="62">
        <v>90</v>
      </c>
      <c r="E117" s="64"/>
      <c r="F117" s="63">
        <v>3010267.3200000003</v>
      </c>
      <c r="G117" s="65">
        <f t="shared" ref="G117:R126" si="45">INDEX(Alloc,($D117),(G$1))*$F117</f>
        <v>1538659.2562159125</v>
      </c>
      <c r="H117" s="65">
        <f t="shared" si="45"/>
        <v>402895.59521622676</v>
      </c>
      <c r="I117" s="65">
        <f t="shared" si="45"/>
        <v>447864.1417418393</v>
      </c>
      <c r="J117" s="65">
        <f t="shared" si="45"/>
        <v>296092.64202377934</v>
      </c>
      <c r="K117" s="65">
        <f t="shared" si="45"/>
        <v>204848.95244720462</v>
      </c>
      <c r="L117" s="65">
        <f t="shared" si="45"/>
        <v>706.75428886895941</v>
      </c>
      <c r="M117" s="65">
        <f t="shared" si="45"/>
        <v>15984.65585994104</v>
      </c>
      <c r="N117" s="65">
        <f t="shared" si="45"/>
        <v>0</v>
      </c>
      <c r="O117" s="65">
        <f t="shared" si="45"/>
        <v>90574.850901697268</v>
      </c>
      <c r="P117" s="65">
        <f t="shared" si="45"/>
        <v>0</v>
      </c>
      <c r="Q117" s="65">
        <f t="shared" si="45"/>
        <v>11626.319685875644</v>
      </c>
      <c r="R117" s="65">
        <f t="shared" si="45"/>
        <v>1014.1516186538011</v>
      </c>
      <c r="T117" s="98">
        <f t="shared" si="33"/>
        <v>0</v>
      </c>
    </row>
    <row r="118" spans="1:20" s="62" customFormat="1" x14ac:dyDescent="0.25">
      <c r="A118" s="22"/>
      <c r="B118" s="20"/>
      <c r="C118" s="16"/>
      <c r="E118" s="64"/>
      <c r="F118" s="49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T118" s="98"/>
    </row>
    <row r="119" spans="1:20" x14ac:dyDescent="0.25">
      <c r="A119" s="22" t="s">
        <v>398</v>
      </c>
      <c r="B119" s="16" t="s">
        <v>399</v>
      </c>
      <c r="C119" s="16" t="str">
        <f>INDEX('Alloc Amt'!B:B,MATCH(Expenses!D:D,'Alloc Amt'!D:D,0))</f>
        <v>Total Struct and Improvements</v>
      </c>
      <c r="D119" s="19">
        <v>54</v>
      </c>
      <c r="E119" s="48"/>
      <c r="F119" s="49">
        <v>71582.14</v>
      </c>
      <c r="G119" s="39">
        <f t="shared" si="45"/>
        <v>29713.450099386693</v>
      </c>
      <c r="H119" s="39">
        <f t="shared" si="45"/>
        <v>9578.9042275408301</v>
      </c>
      <c r="I119" s="39">
        <f t="shared" si="45"/>
        <v>12462.470301047517</v>
      </c>
      <c r="J119" s="39">
        <f t="shared" si="45"/>
        <v>7324.2967763313</v>
      </c>
      <c r="K119" s="39">
        <f t="shared" si="45"/>
        <v>6032.7788113126844</v>
      </c>
      <c r="L119" s="39">
        <f t="shared" si="45"/>
        <v>1.320552331085926</v>
      </c>
      <c r="M119" s="39">
        <f t="shared" si="45"/>
        <v>308.40899441452211</v>
      </c>
      <c r="N119" s="39">
        <f t="shared" si="45"/>
        <v>6092.0196687522339</v>
      </c>
      <c r="O119" s="39">
        <f t="shared" si="45"/>
        <v>22.309030880357984</v>
      </c>
      <c r="P119" s="39">
        <f t="shared" si="45"/>
        <v>0</v>
      </c>
      <c r="Q119" s="39">
        <f t="shared" si="45"/>
        <v>42.173194815993284</v>
      </c>
      <c r="R119" s="39">
        <f t="shared" si="45"/>
        <v>4.0083431867810173</v>
      </c>
      <c r="T119" s="98">
        <f t="shared" si="33"/>
        <v>0</v>
      </c>
    </row>
    <row r="120" spans="1:20" x14ac:dyDescent="0.25">
      <c r="A120" s="22" t="s">
        <v>400</v>
      </c>
      <c r="B120" s="16" t="s">
        <v>401</v>
      </c>
      <c r="C120" s="16" t="str">
        <f>INDEX('Alloc Amt'!B:B,MATCH(Expenses!D:D,'Alloc Amt'!D:D,0))</f>
        <v>Total Struct and Improvements</v>
      </c>
      <c r="D120" s="19">
        <v>55</v>
      </c>
      <c r="E120" s="48"/>
      <c r="F120" s="49">
        <v>142607.19</v>
      </c>
      <c r="G120" s="39">
        <f t="shared" si="45"/>
        <v>66752.40422647653</v>
      </c>
      <c r="H120" s="39">
        <f t="shared" si="45"/>
        <v>18375.886789560907</v>
      </c>
      <c r="I120" s="39">
        <f t="shared" si="45"/>
        <v>22822.467407878503</v>
      </c>
      <c r="J120" s="39">
        <f t="shared" si="45"/>
        <v>13273.198772920263</v>
      </c>
      <c r="K120" s="39">
        <f t="shared" si="45"/>
        <v>8713.8559134993211</v>
      </c>
      <c r="L120" s="39">
        <f t="shared" si="45"/>
        <v>1.8950044719494515E-2</v>
      </c>
      <c r="M120" s="39">
        <f t="shared" si="45"/>
        <v>1071.3123531495432</v>
      </c>
      <c r="N120" s="39">
        <f t="shared" si="45"/>
        <v>6319.3133796683096</v>
      </c>
      <c r="O120" s="39">
        <f t="shared" si="45"/>
        <v>2362.3335502731711</v>
      </c>
      <c r="P120" s="39">
        <f t="shared" si="45"/>
        <v>2800.045381951029</v>
      </c>
      <c r="Q120" s="39">
        <f t="shared" si="45"/>
        <v>101.4301143610944</v>
      </c>
      <c r="R120" s="39">
        <f t="shared" si="45"/>
        <v>14.92316021660193</v>
      </c>
      <c r="T120" s="98">
        <f t="shared" si="33"/>
        <v>0</v>
      </c>
    </row>
    <row r="121" spans="1:20" x14ac:dyDescent="0.25">
      <c r="A121" s="22" t="s">
        <v>402</v>
      </c>
      <c r="B121" s="16" t="s">
        <v>403</v>
      </c>
      <c r="C121" s="16" t="str">
        <f>INDEX('Alloc Amt'!B:B,MATCH(Expenses!D:D,'Alloc Amt'!D:D,0))</f>
        <v>Total Station Equip</v>
      </c>
      <c r="D121" s="19">
        <v>56</v>
      </c>
      <c r="E121" s="48"/>
      <c r="F121" s="49">
        <v>9552274.1199999992</v>
      </c>
      <c r="G121" s="39">
        <f t="shared" si="45"/>
        <v>4953698.6881863559</v>
      </c>
      <c r="H121" s="39">
        <f t="shared" si="45"/>
        <v>1197675.2996748991</v>
      </c>
      <c r="I121" s="39">
        <f t="shared" si="45"/>
        <v>1315993.2068827043</v>
      </c>
      <c r="J121" s="39">
        <f t="shared" si="45"/>
        <v>700229.02851630352</v>
      </c>
      <c r="K121" s="39">
        <f t="shared" si="45"/>
        <v>636677.45724569517</v>
      </c>
      <c r="L121" s="39">
        <f t="shared" si="45"/>
        <v>2292.2534956184973</v>
      </c>
      <c r="M121" s="39">
        <f t="shared" si="45"/>
        <v>71591.024870286885</v>
      </c>
      <c r="N121" s="39">
        <f t="shared" si="45"/>
        <v>307347.9533009369</v>
      </c>
      <c r="O121" s="39">
        <f t="shared" si="45"/>
        <v>249623.39140111406</v>
      </c>
      <c r="P121" s="39">
        <f t="shared" si="45"/>
        <v>107546.1751213634</v>
      </c>
      <c r="Q121" s="39">
        <f t="shared" si="45"/>
        <v>7159.2498824371323</v>
      </c>
      <c r="R121" s="39">
        <f t="shared" si="45"/>
        <v>2440.3914222854178</v>
      </c>
      <c r="T121" s="98">
        <f t="shared" si="33"/>
        <v>0</v>
      </c>
    </row>
    <row r="122" spans="1:20" x14ac:dyDescent="0.25">
      <c r="A122" s="22" t="s">
        <v>404</v>
      </c>
      <c r="B122" s="16" t="s">
        <v>405</v>
      </c>
      <c r="C122" s="16" t="str">
        <f>INDEX('Alloc Amt'!B:B,MATCH(Expenses!D:D,'Alloc Amt'!D:D,0))</f>
        <v>Allocate Substation Equipment - 12 NCP</v>
      </c>
      <c r="D122" s="19">
        <v>44</v>
      </c>
      <c r="E122" s="48"/>
      <c r="F122" s="49">
        <v>54950.929999999986</v>
      </c>
      <c r="G122" s="39">
        <f t="shared" si="45"/>
        <v>30673.375654063973</v>
      </c>
      <c r="H122" s="39">
        <f t="shared" si="45"/>
        <v>7416.0231961891568</v>
      </c>
      <c r="I122" s="39">
        <f t="shared" si="45"/>
        <v>8148.6494302075253</v>
      </c>
      <c r="J122" s="39">
        <f t="shared" si="45"/>
        <v>4335.8285167369559</v>
      </c>
      <c r="K122" s="39">
        <f t="shared" si="45"/>
        <v>3860.1257276085316</v>
      </c>
      <c r="L122" s="39">
        <f t="shared" si="45"/>
        <v>14.193667598945087</v>
      </c>
      <c r="M122" s="39">
        <f t="shared" si="45"/>
        <v>443.29268644107248</v>
      </c>
      <c r="N122" s="39">
        <f t="shared" si="45"/>
        <v>0</v>
      </c>
      <c r="O122" s="39">
        <f t="shared" si="45"/>
        <v>0</v>
      </c>
      <c r="P122" s="39">
        <f t="shared" si="45"/>
        <v>0</v>
      </c>
      <c r="Q122" s="39">
        <f t="shared" si="45"/>
        <v>44.330181318659626</v>
      </c>
      <c r="R122" s="39">
        <f t="shared" si="45"/>
        <v>15.110939835164247</v>
      </c>
      <c r="T122" s="98">
        <f t="shared" si="33"/>
        <v>0</v>
      </c>
    </row>
    <row r="123" spans="1:20" x14ac:dyDescent="0.25">
      <c r="A123" s="22" t="s">
        <v>406</v>
      </c>
      <c r="B123" s="16" t="s">
        <v>407</v>
      </c>
      <c r="C123" s="16" t="str">
        <f>INDEX('Alloc Amt'!B:B,MATCH(Expenses!D:D,'Alloc Amt'!D:D,0))</f>
        <v>Allocate Overhead Lines - 12 NCP</v>
      </c>
      <c r="D123" s="19">
        <v>45</v>
      </c>
      <c r="E123" s="48"/>
      <c r="F123" s="49">
        <v>12015090.43</v>
      </c>
      <c r="G123" s="39">
        <f t="shared" si="45"/>
        <v>8280957.1348556913</v>
      </c>
      <c r="H123" s="39">
        <f t="shared" si="45"/>
        <v>1513073.6062078436</v>
      </c>
      <c r="I123" s="39">
        <f t="shared" si="45"/>
        <v>1176308.0451656198</v>
      </c>
      <c r="J123" s="39">
        <f t="shared" si="45"/>
        <v>465329.02715162426</v>
      </c>
      <c r="K123" s="39">
        <f t="shared" si="45"/>
        <v>435568.63032201934</v>
      </c>
      <c r="L123" s="39">
        <f t="shared" si="45"/>
        <v>10909.731846700251</v>
      </c>
      <c r="M123" s="39">
        <f t="shared" si="45"/>
        <v>117376.16365155604</v>
      </c>
      <c r="N123" s="39">
        <f t="shared" si="45"/>
        <v>0</v>
      </c>
      <c r="O123" s="39">
        <f t="shared" si="45"/>
        <v>0</v>
      </c>
      <c r="P123" s="39">
        <f t="shared" si="45"/>
        <v>0</v>
      </c>
      <c r="Q123" s="39">
        <f t="shared" si="45"/>
        <v>7277.1773269471823</v>
      </c>
      <c r="R123" s="39">
        <f t="shared" si="45"/>
        <v>8290.9134719945505</v>
      </c>
      <c r="T123" s="98">
        <f t="shared" si="33"/>
        <v>0</v>
      </c>
    </row>
    <row r="124" spans="1:20" x14ac:dyDescent="0.25">
      <c r="A124" s="22" t="s">
        <v>408</v>
      </c>
      <c r="B124" s="16" t="s">
        <v>409</v>
      </c>
      <c r="C124" s="16" t="str">
        <f>INDEX('Alloc Amt'!B:B,MATCH(Expenses!D:D,'Alloc Amt'!D:D,0))</f>
        <v>Allocate Overhead Lines - 12 NCP</v>
      </c>
      <c r="D124" s="19">
        <v>45</v>
      </c>
      <c r="E124" s="48"/>
      <c r="F124" s="49">
        <v>17443235.939999998</v>
      </c>
      <c r="G124" s="39">
        <f t="shared" si="45"/>
        <v>12022105.863777025</v>
      </c>
      <c r="H124" s="39">
        <f t="shared" si="45"/>
        <v>2196645.9646255085</v>
      </c>
      <c r="I124" s="39">
        <f t="shared" si="45"/>
        <v>1707737.3565755244</v>
      </c>
      <c r="J124" s="39">
        <f t="shared" si="45"/>
        <v>675554.13399717933</v>
      </c>
      <c r="K124" s="39">
        <f t="shared" si="45"/>
        <v>632348.66445941688</v>
      </c>
      <c r="L124" s="39">
        <f t="shared" si="45"/>
        <v>15838.5014039486</v>
      </c>
      <c r="M124" s="39">
        <f t="shared" si="45"/>
        <v>170404.05382168596</v>
      </c>
      <c r="N124" s="39">
        <f t="shared" si="45"/>
        <v>0</v>
      </c>
      <c r="O124" s="39">
        <f t="shared" si="45"/>
        <v>0</v>
      </c>
      <c r="P124" s="39">
        <f t="shared" si="45"/>
        <v>0</v>
      </c>
      <c r="Q124" s="39">
        <f t="shared" si="45"/>
        <v>10564.84109135067</v>
      </c>
      <c r="R124" s="39">
        <f t="shared" si="45"/>
        <v>12036.560248354743</v>
      </c>
      <c r="T124" s="98">
        <f t="shared" si="33"/>
        <v>0</v>
      </c>
    </row>
    <row r="125" spans="1:20" x14ac:dyDescent="0.25">
      <c r="A125" s="22" t="s">
        <v>410</v>
      </c>
      <c r="B125" s="16" t="s">
        <v>411</v>
      </c>
      <c r="C125" s="16" t="str">
        <f>INDEX('Alloc Amt'!B:B,MATCH(Expenses!D:D,'Alloc Amt'!D:D,0))</f>
        <v>Allocate Underground Lines - 12 NCP</v>
      </c>
      <c r="D125" s="19">
        <v>47</v>
      </c>
      <c r="E125" s="48"/>
      <c r="F125" s="49">
        <v>13080710</v>
      </c>
      <c r="G125" s="39">
        <f t="shared" si="45"/>
        <v>8803246.325757876</v>
      </c>
      <c r="H125" s="39">
        <f t="shared" si="45"/>
        <v>1568630.7978229651</v>
      </c>
      <c r="I125" s="39">
        <f t="shared" si="45"/>
        <v>1463813.2585704878</v>
      </c>
      <c r="J125" s="39">
        <f t="shared" si="45"/>
        <v>635547.13899224869</v>
      </c>
      <c r="K125" s="39">
        <f t="shared" si="45"/>
        <v>453322.88479923527</v>
      </c>
      <c r="L125" s="39">
        <f t="shared" si="45"/>
        <v>5383.5741076458035</v>
      </c>
      <c r="M125" s="39">
        <f t="shared" si="45"/>
        <v>141153.42136215419</v>
      </c>
      <c r="N125" s="39">
        <f t="shared" si="45"/>
        <v>0</v>
      </c>
      <c r="O125" s="39">
        <f t="shared" si="45"/>
        <v>0</v>
      </c>
      <c r="P125" s="39">
        <f t="shared" si="45"/>
        <v>0</v>
      </c>
      <c r="Q125" s="39">
        <f t="shared" si="45"/>
        <v>6032.1974941091539</v>
      </c>
      <c r="R125" s="39">
        <f t="shared" si="45"/>
        <v>3580.4010932776905</v>
      </c>
      <c r="T125" s="98">
        <f t="shared" si="33"/>
        <v>0</v>
      </c>
    </row>
    <row r="126" spans="1:20" x14ac:dyDescent="0.25">
      <c r="A126" s="22" t="s">
        <v>412</v>
      </c>
      <c r="B126" s="16" t="s">
        <v>413</v>
      </c>
      <c r="C126" s="16" t="str">
        <f>INDEX('Alloc Amt'!B:B,MATCH(Expenses!D:D,'Alloc Amt'!D:D,0))</f>
        <v>Allocate Underground Lines - 12 NCP</v>
      </c>
      <c r="D126" s="19">
        <v>47</v>
      </c>
      <c r="E126" s="48"/>
      <c r="F126" s="49">
        <v>38836748.5598768</v>
      </c>
      <c r="G126" s="39">
        <f t="shared" si="45"/>
        <v>26136919.48404314</v>
      </c>
      <c r="H126" s="39">
        <f t="shared" si="45"/>
        <v>4657279.297402774</v>
      </c>
      <c r="I126" s="39">
        <f t="shared" si="45"/>
        <v>4346075.0572190629</v>
      </c>
      <c r="J126" s="39">
        <f t="shared" si="45"/>
        <v>1886945.3137475743</v>
      </c>
      <c r="K126" s="39">
        <f t="shared" si="45"/>
        <v>1345919.8234182927</v>
      </c>
      <c r="L126" s="39">
        <f t="shared" si="45"/>
        <v>15983.881148049548</v>
      </c>
      <c r="M126" s="39">
        <f t="shared" si="45"/>
        <v>419085.80908898101</v>
      </c>
      <c r="N126" s="39">
        <f t="shared" si="45"/>
        <v>0</v>
      </c>
      <c r="O126" s="39">
        <f t="shared" si="45"/>
        <v>0</v>
      </c>
      <c r="P126" s="39">
        <f t="shared" si="45"/>
        <v>0</v>
      </c>
      <c r="Q126" s="39">
        <f t="shared" si="45"/>
        <v>17909.649961067564</v>
      </c>
      <c r="R126" s="39">
        <f t="shared" si="45"/>
        <v>10630.243847859456</v>
      </c>
      <c r="T126" s="98">
        <f t="shared" si="33"/>
        <v>0</v>
      </c>
    </row>
    <row r="127" spans="1:20" x14ac:dyDescent="0.25">
      <c r="A127" s="22" t="s">
        <v>414</v>
      </c>
      <c r="B127" s="16" t="s">
        <v>415</v>
      </c>
      <c r="C127" s="16" t="str">
        <f>INDEX('Alloc Amt'!B:B,MATCH(Expenses!D:D,'Alloc Amt'!D:D,0))</f>
        <v>Total Transformers</v>
      </c>
      <c r="D127" s="19">
        <v>59</v>
      </c>
      <c r="E127" s="48"/>
      <c r="F127" s="49">
        <v>20242879.390000001</v>
      </c>
      <c r="G127" s="39">
        <f t="shared" ref="G127:R137" si="46">INDEX(Alloc,($D127),(G$1))*$F127</f>
        <v>15558858.408078134</v>
      </c>
      <c r="H127" s="39">
        <f t="shared" si="46"/>
        <v>2453563.8691945714</v>
      </c>
      <c r="I127" s="39">
        <f t="shared" si="46"/>
        <v>885151.63384795142</v>
      </c>
      <c r="J127" s="39">
        <f t="shared" si="46"/>
        <v>211251.65846275605</v>
      </c>
      <c r="K127" s="39">
        <f t="shared" si="46"/>
        <v>101619.41317769684</v>
      </c>
      <c r="L127" s="39">
        <f t="shared" si="46"/>
        <v>0</v>
      </c>
      <c r="M127" s="39">
        <f t="shared" si="46"/>
        <v>5823.957960710808</v>
      </c>
      <c r="N127" s="39">
        <f t="shared" si="46"/>
        <v>197247.08150201503</v>
      </c>
      <c r="O127" s="39">
        <f t="shared" si="46"/>
        <v>0</v>
      </c>
      <c r="P127" s="39">
        <f t="shared" si="46"/>
        <v>0</v>
      </c>
      <c r="Q127" s="39">
        <f t="shared" si="46"/>
        <v>826972.48304086016</v>
      </c>
      <c r="R127" s="39">
        <f t="shared" si="46"/>
        <v>2390.8847353073465</v>
      </c>
      <c r="T127" s="98">
        <f t="shared" si="33"/>
        <v>0</v>
      </c>
    </row>
    <row r="128" spans="1:20" x14ac:dyDescent="0.25">
      <c r="A128" s="22" t="s">
        <v>416</v>
      </c>
      <c r="B128" s="16" t="s">
        <v>417</v>
      </c>
      <c r="C128" s="16" t="str">
        <f>INDEX('Alloc Amt'!B:B,MATCH(Expenses!D:D,'Alloc Amt'!D:D,0))</f>
        <v>Total Services</v>
      </c>
      <c r="D128" s="19">
        <v>60</v>
      </c>
      <c r="E128" s="48"/>
      <c r="F128" s="49">
        <v>5946476.4000000004</v>
      </c>
      <c r="G128" s="39">
        <f t="shared" si="46"/>
        <v>5770232.7534907367</v>
      </c>
      <c r="H128" s="39">
        <f t="shared" si="46"/>
        <v>169604.63106701686</v>
      </c>
      <c r="I128" s="39">
        <f t="shared" si="46"/>
        <v>6498.2257651022683</v>
      </c>
      <c r="J128" s="39">
        <f t="shared" si="46"/>
        <v>140.78967714472898</v>
      </c>
      <c r="K128" s="39">
        <f t="shared" si="46"/>
        <v>0</v>
      </c>
      <c r="L128" s="39">
        <f t="shared" si="46"/>
        <v>0</v>
      </c>
      <c r="M128" s="39">
        <f t="shared" si="46"/>
        <v>0</v>
      </c>
      <c r="N128" s="39">
        <f t="shared" si="46"/>
        <v>0</v>
      </c>
      <c r="O128" s="39">
        <f t="shared" si="46"/>
        <v>0</v>
      </c>
      <c r="P128" s="39">
        <f t="shared" si="46"/>
        <v>0</v>
      </c>
      <c r="Q128" s="39">
        <f t="shared" si="46"/>
        <v>0</v>
      </c>
      <c r="R128" s="39">
        <f t="shared" si="46"/>
        <v>0</v>
      </c>
      <c r="T128" s="98">
        <f t="shared" si="33"/>
        <v>0</v>
      </c>
    </row>
    <row r="129" spans="1:20" x14ac:dyDescent="0.25">
      <c r="A129" s="22" t="s">
        <v>418</v>
      </c>
      <c r="B129" s="16" t="s">
        <v>419</v>
      </c>
      <c r="C129" s="16" t="str">
        <f>INDEX('Alloc Amt'!B:B,MATCH(Expenses!D:D,'Alloc Amt'!D:D,0))</f>
        <v>Meter Investment</v>
      </c>
      <c r="D129" s="19">
        <v>19</v>
      </c>
      <c r="E129" s="48"/>
      <c r="F129" s="49">
        <v>15485581.179727737</v>
      </c>
      <c r="G129" s="39">
        <f t="shared" si="46"/>
        <v>10053641.400099199</v>
      </c>
      <c r="H129" s="39">
        <f t="shared" si="46"/>
        <v>2821910.7948202551</v>
      </c>
      <c r="I129" s="39">
        <f t="shared" si="46"/>
        <v>833976.50522781222</v>
      </c>
      <c r="J129" s="39">
        <f t="shared" si="46"/>
        <v>93731.805714208371</v>
      </c>
      <c r="K129" s="39">
        <f t="shared" si="46"/>
        <v>1122700.9247211104</v>
      </c>
      <c r="L129" s="39">
        <f t="shared" si="46"/>
        <v>3640.1501402089707</v>
      </c>
      <c r="M129" s="39">
        <f t="shared" si="46"/>
        <v>362836.37973372452</v>
      </c>
      <c r="N129" s="39">
        <f t="shared" si="46"/>
        <v>73384.185148474222</v>
      </c>
      <c r="O129" s="39">
        <f t="shared" si="46"/>
        <v>45571.404163884014</v>
      </c>
      <c r="P129" s="39">
        <f t="shared" si="46"/>
        <v>73369.567913433959</v>
      </c>
      <c r="Q129" s="39">
        <f t="shared" si="46"/>
        <v>0</v>
      </c>
      <c r="R129" s="39">
        <f t="shared" si="46"/>
        <v>818.06204542367198</v>
      </c>
      <c r="T129" s="98">
        <f t="shared" si="33"/>
        <v>0</v>
      </c>
    </row>
    <row r="130" spans="1:20" x14ac:dyDescent="0.25">
      <c r="A130" s="22" t="s">
        <v>420</v>
      </c>
      <c r="B130" s="16" t="s">
        <v>421</v>
      </c>
      <c r="C130" s="16" t="str">
        <f>INDEX('Alloc Amt'!B:B,MATCH(Expenses!D:D,'Alloc Amt'!D:D,0))</f>
        <v>Str. &amp; Signal Systems</v>
      </c>
      <c r="D130" s="19">
        <v>12</v>
      </c>
      <c r="E130" s="48"/>
      <c r="F130" s="49">
        <v>2670044.1300000004</v>
      </c>
      <c r="G130" s="39">
        <f t="shared" si="46"/>
        <v>0</v>
      </c>
      <c r="H130" s="39">
        <f t="shared" si="46"/>
        <v>0</v>
      </c>
      <c r="I130" s="39">
        <f t="shared" si="46"/>
        <v>0</v>
      </c>
      <c r="J130" s="39">
        <f t="shared" si="46"/>
        <v>0</v>
      </c>
      <c r="K130" s="39">
        <f t="shared" si="46"/>
        <v>0</v>
      </c>
      <c r="L130" s="39">
        <f t="shared" si="46"/>
        <v>0</v>
      </c>
      <c r="M130" s="39">
        <f t="shared" si="46"/>
        <v>0</v>
      </c>
      <c r="N130" s="39">
        <f t="shared" si="46"/>
        <v>0</v>
      </c>
      <c r="O130" s="39">
        <f t="shared" si="46"/>
        <v>0</v>
      </c>
      <c r="P130" s="39">
        <f t="shared" si="46"/>
        <v>0</v>
      </c>
      <c r="Q130" s="39">
        <f t="shared" si="46"/>
        <v>2670044.1300000004</v>
      </c>
      <c r="R130" s="39">
        <f t="shared" si="46"/>
        <v>0</v>
      </c>
      <c r="T130" s="98">
        <f t="shared" si="33"/>
        <v>0</v>
      </c>
    </row>
    <row r="131" spans="1:20" x14ac:dyDescent="0.25">
      <c r="A131" s="22">
        <v>403.06</v>
      </c>
      <c r="B131" s="16" t="s">
        <v>422</v>
      </c>
      <c r="C131" s="16" t="str">
        <f>INDEX('Alloc Amt'!B:B,MATCH(Expenses!D:D,'Alloc Amt'!D:D,0))</f>
        <v>Total General Plant</v>
      </c>
      <c r="D131" s="19">
        <v>70</v>
      </c>
      <c r="E131" s="48"/>
      <c r="F131" s="49">
        <v>31544118.98686849</v>
      </c>
      <c r="G131" s="39">
        <f t="shared" si="46"/>
        <v>18941359.764371417</v>
      </c>
      <c r="H131" s="39">
        <f t="shared" si="46"/>
        <v>3837227.2311672401</v>
      </c>
      <c r="I131" s="39">
        <f t="shared" si="46"/>
        <v>3503015.2019532747</v>
      </c>
      <c r="J131" s="39">
        <f t="shared" si="46"/>
        <v>2060493.0732230491</v>
      </c>
      <c r="K131" s="39">
        <f t="shared" si="46"/>
        <v>1523461.8231342942</v>
      </c>
      <c r="L131" s="39">
        <f t="shared" si="46"/>
        <v>8595.4216002253779</v>
      </c>
      <c r="M131" s="39">
        <f t="shared" si="46"/>
        <v>187893.50704479567</v>
      </c>
      <c r="N131" s="39">
        <f t="shared" si="46"/>
        <v>194643.35643770435</v>
      </c>
      <c r="O131" s="39">
        <f t="shared" si="46"/>
        <v>533394.49979180726</v>
      </c>
      <c r="P131" s="39">
        <f t="shared" si="46"/>
        <v>305503.92354036</v>
      </c>
      <c r="Q131" s="39">
        <f t="shared" si="46"/>
        <v>439678.92322182347</v>
      </c>
      <c r="R131" s="39">
        <f t="shared" si="46"/>
        <v>8852.2613824972777</v>
      </c>
      <c r="T131" s="98">
        <f t="shared" si="33"/>
        <v>0</v>
      </c>
    </row>
    <row r="132" spans="1:20" x14ac:dyDescent="0.25">
      <c r="A132" s="22" t="s">
        <v>423</v>
      </c>
      <c r="B132" s="16" t="s">
        <v>424</v>
      </c>
      <c r="C132" s="16" t="str">
        <f>INDEX('Alloc Amt'!B:B,MATCH(Expenses!D:D,'Alloc Amt'!D:D,0))</f>
        <v>Total Production Plant</v>
      </c>
      <c r="D132" s="19">
        <v>73</v>
      </c>
      <c r="E132" s="48"/>
      <c r="F132" s="49">
        <v>7651253.0900000008</v>
      </c>
      <c r="G132" s="39">
        <f t="shared" si="46"/>
        <v>3895808.6108651618</v>
      </c>
      <c r="H132" s="39">
        <f t="shared" si="46"/>
        <v>1026214.9256691191</v>
      </c>
      <c r="I132" s="39">
        <f t="shared" si="46"/>
        <v>1144672.7262248336</v>
      </c>
      <c r="J132" s="39">
        <f t="shared" si="46"/>
        <v>758378.23119151278</v>
      </c>
      <c r="K132" s="39">
        <f t="shared" si="46"/>
        <v>521921.11738527188</v>
      </c>
      <c r="L132" s="39">
        <f t="shared" si="46"/>
        <v>1902.9316085373353</v>
      </c>
      <c r="M132" s="39">
        <f t="shared" si="46"/>
        <v>39990.665886857292</v>
      </c>
      <c r="N132" s="39">
        <f t="shared" si="46"/>
        <v>0</v>
      </c>
      <c r="O132" s="39">
        <f t="shared" si="46"/>
        <v>230801.86136591801</v>
      </c>
      <c r="P132" s="39">
        <f t="shared" si="46"/>
        <v>0</v>
      </c>
      <c r="Q132" s="39">
        <f t="shared" si="46"/>
        <v>29057.103619125824</v>
      </c>
      <c r="R132" s="39">
        <f t="shared" si="46"/>
        <v>2504.9161836624612</v>
      </c>
      <c r="T132" s="98">
        <f t="shared" si="33"/>
        <v>0</v>
      </c>
    </row>
    <row r="133" spans="1:20" x14ac:dyDescent="0.25">
      <c r="A133" s="22" t="s">
        <v>425</v>
      </c>
      <c r="B133" s="16" t="s">
        <v>426</v>
      </c>
      <c r="C133" s="16" t="str">
        <f>INDEX('Alloc Amt'!B:B,MATCH(Expenses!D:D,'Alloc Amt'!D:D,0))</f>
        <v>Total Transmission Plant</v>
      </c>
      <c r="D133" s="19">
        <v>82</v>
      </c>
      <c r="E133" s="48"/>
      <c r="F133" s="49">
        <v>88906.44</v>
      </c>
      <c r="G133" s="39">
        <f t="shared" si="46"/>
        <v>42339.869119358635</v>
      </c>
      <c r="H133" s="39">
        <f t="shared" si="46"/>
        <v>10900.172302847579</v>
      </c>
      <c r="I133" s="39">
        <f t="shared" si="46"/>
        <v>12139.734252562735</v>
      </c>
      <c r="J133" s="39">
        <f t="shared" si="46"/>
        <v>7931.3846692535653</v>
      </c>
      <c r="K133" s="39">
        <f t="shared" si="46"/>
        <v>5499.3370591611538</v>
      </c>
      <c r="L133" s="39">
        <f t="shared" si="46"/>
        <v>17.908043826431239</v>
      </c>
      <c r="M133" s="39">
        <f t="shared" si="46"/>
        <v>443.11621730097409</v>
      </c>
      <c r="N133" s="39">
        <f t="shared" si="46"/>
        <v>1022.8650711704646</v>
      </c>
      <c r="O133" s="39">
        <f t="shared" si="46"/>
        <v>2415.5381021491357</v>
      </c>
      <c r="P133" s="39">
        <f t="shared" si="46"/>
        <v>5876.6001314709411</v>
      </c>
      <c r="Q133" s="39">
        <f t="shared" si="46"/>
        <v>292.37193726935521</v>
      </c>
      <c r="R133" s="39">
        <f t="shared" si="46"/>
        <v>27.543093629036346</v>
      </c>
      <c r="T133" s="98">
        <f t="shared" si="33"/>
        <v>0</v>
      </c>
    </row>
    <row r="134" spans="1:20" x14ac:dyDescent="0.25">
      <c r="A134" s="22" t="s">
        <v>427</v>
      </c>
      <c r="B134" s="16" t="s">
        <v>428</v>
      </c>
      <c r="C134" s="16" t="str">
        <f>INDEX('Alloc Amt'!B:B,MATCH(Expenses!D:D,'Alloc Amt'!D:D,0))</f>
        <v>Total Distribution Plant</v>
      </c>
      <c r="D134" s="19">
        <v>68</v>
      </c>
      <c r="E134" s="48"/>
      <c r="F134" s="49">
        <v>52744.2</v>
      </c>
      <c r="G134" s="39">
        <f t="shared" si="46"/>
        <v>35070.275070259799</v>
      </c>
      <c r="H134" s="39">
        <f t="shared" si="46"/>
        <v>6252.1627045031428</v>
      </c>
      <c r="I134" s="39">
        <f t="shared" si="46"/>
        <v>4963.8433462669764</v>
      </c>
      <c r="J134" s="39">
        <f t="shared" si="46"/>
        <v>2113.7587402921899</v>
      </c>
      <c r="K134" s="39">
        <f t="shared" si="46"/>
        <v>1862.629793555067</v>
      </c>
      <c r="L134" s="39">
        <f t="shared" si="46"/>
        <v>21.240486102670751</v>
      </c>
      <c r="M134" s="39">
        <f t="shared" si="46"/>
        <v>460.76718546509454</v>
      </c>
      <c r="N134" s="39">
        <f t="shared" si="46"/>
        <v>634.18256529725943</v>
      </c>
      <c r="O134" s="39">
        <f t="shared" si="46"/>
        <v>241.68901694500363</v>
      </c>
      <c r="P134" s="39">
        <f t="shared" si="46"/>
        <v>83.504604579257091</v>
      </c>
      <c r="Q134" s="39">
        <f t="shared" si="46"/>
        <v>1023.961656822574</v>
      </c>
      <c r="R134" s="39">
        <f t="shared" si="46"/>
        <v>16.18482991095474</v>
      </c>
      <c r="T134" s="98">
        <f t="shared" si="33"/>
        <v>0</v>
      </c>
    </row>
    <row r="135" spans="1:20" x14ac:dyDescent="0.25">
      <c r="A135" s="22" t="s">
        <v>429</v>
      </c>
      <c r="B135" s="16" t="s">
        <v>430</v>
      </c>
      <c r="C135" s="16" t="str">
        <f>INDEX('Alloc Amt'!B:B,MATCH(Expenses!D:D,'Alloc Amt'!D:D,0))</f>
        <v>Total General Plant</v>
      </c>
      <c r="D135" s="19">
        <v>70</v>
      </c>
      <c r="E135" s="48"/>
      <c r="F135" s="49">
        <v>15331.973602</v>
      </c>
      <c r="G135" s="39">
        <f t="shared" si="46"/>
        <v>9206.4206330892212</v>
      </c>
      <c r="H135" s="39">
        <f t="shared" si="46"/>
        <v>1865.0787691240635</v>
      </c>
      <c r="I135" s="39">
        <f t="shared" si="46"/>
        <v>1702.6354936750802</v>
      </c>
      <c r="J135" s="39">
        <f t="shared" si="46"/>
        <v>1001.4996906051124</v>
      </c>
      <c r="K135" s="39">
        <f t="shared" si="46"/>
        <v>740.4764249612856</v>
      </c>
      <c r="L135" s="39">
        <f t="shared" si="46"/>
        <v>4.1777922891926957</v>
      </c>
      <c r="M135" s="39">
        <f t="shared" si="46"/>
        <v>91.32536848460559</v>
      </c>
      <c r="N135" s="39">
        <f t="shared" si="46"/>
        <v>94.606123060526158</v>
      </c>
      <c r="O135" s="39">
        <f t="shared" si="46"/>
        <v>259.25562839984218</v>
      </c>
      <c r="P135" s="39">
        <f t="shared" si="46"/>
        <v>148.48974203331278</v>
      </c>
      <c r="Q135" s="39">
        <f t="shared" si="46"/>
        <v>213.70530738230653</v>
      </c>
      <c r="R135" s="39">
        <f t="shared" si="46"/>
        <v>4.3026288954512344</v>
      </c>
      <c r="T135" s="98">
        <f t="shared" si="33"/>
        <v>0</v>
      </c>
    </row>
    <row r="136" spans="1:20" x14ac:dyDescent="0.25">
      <c r="A136" s="22">
        <v>403.08</v>
      </c>
      <c r="B136" s="16" t="s">
        <v>431</v>
      </c>
      <c r="C136" s="16" t="str">
        <f>INDEX('Alloc Amt'!B:B,MATCH(Expenses!D:D,'Alloc Amt'!D:D,0))</f>
        <v>Total Distribution Plant</v>
      </c>
      <c r="D136" s="19">
        <v>68</v>
      </c>
      <c r="E136" s="48"/>
      <c r="F136" s="49">
        <v>0</v>
      </c>
      <c r="G136" s="39">
        <f t="shared" si="46"/>
        <v>0</v>
      </c>
      <c r="H136" s="39">
        <f t="shared" si="46"/>
        <v>0</v>
      </c>
      <c r="I136" s="39">
        <f t="shared" si="46"/>
        <v>0</v>
      </c>
      <c r="J136" s="39">
        <f t="shared" si="46"/>
        <v>0</v>
      </c>
      <c r="K136" s="39">
        <f t="shared" si="46"/>
        <v>0</v>
      </c>
      <c r="L136" s="39">
        <f t="shared" si="46"/>
        <v>0</v>
      </c>
      <c r="M136" s="39">
        <f t="shared" si="46"/>
        <v>0</v>
      </c>
      <c r="N136" s="39">
        <f t="shared" si="46"/>
        <v>0</v>
      </c>
      <c r="O136" s="39">
        <f t="shared" si="46"/>
        <v>0</v>
      </c>
      <c r="P136" s="39">
        <f t="shared" si="46"/>
        <v>0</v>
      </c>
      <c r="Q136" s="39">
        <f t="shared" si="46"/>
        <v>0</v>
      </c>
      <c r="R136" s="39">
        <f t="shared" si="46"/>
        <v>0</v>
      </c>
      <c r="T136" s="98">
        <f t="shared" ref="T136:T168" si="47">F136-SUM(G136:R136)</f>
        <v>0</v>
      </c>
    </row>
    <row r="137" spans="1:20" x14ac:dyDescent="0.25">
      <c r="A137" s="22">
        <v>404</v>
      </c>
      <c r="B137" s="16" t="s">
        <v>432</v>
      </c>
      <c r="C137" s="16" t="str">
        <f>INDEX('Alloc Amt'!B:B,MATCH(Expenses!D:D,'Alloc Amt'!D:D,0))</f>
        <v>Total Production Plant</v>
      </c>
      <c r="D137" s="19">
        <v>73</v>
      </c>
      <c r="E137" s="48"/>
      <c r="F137" s="49">
        <v>1210780.8199999998</v>
      </c>
      <c r="G137" s="39">
        <f t="shared" si="46"/>
        <v>616496.44691421126</v>
      </c>
      <c r="H137" s="39">
        <f t="shared" si="46"/>
        <v>162394.490756271</v>
      </c>
      <c r="I137" s="39">
        <f t="shared" si="46"/>
        <v>181139.97351643472</v>
      </c>
      <c r="J137" s="39">
        <f t="shared" si="46"/>
        <v>120010.38337528176</v>
      </c>
      <c r="K137" s="39">
        <f t="shared" si="46"/>
        <v>82591.971674414381</v>
      </c>
      <c r="L137" s="39">
        <f t="shared" si="46"/>
        <v>301.13147039928242</v>
      </c>
      <c r="M137" s="39">
        <f t="shared" si="46"/>
        <v>6328.3661728715724</v>
      </c>
      <c r="N137" s="39">
        <f t="shared" si="46"/>
        <v>0</v>
      </c>
      <c r="O137" s="39">
        <f t="shared" si="46"/>
        <v>36523.490162335285</v>
      </c>
      <c r="P137" s="39">
        <f t="shared" si="46"/>
        <v>0</v>
      </c>
      <c r="Q137" s="39">
        <f t="shared" si="46"/>
        <v>4598.1727872486472</v>
      </c>
      <c r="R137" s="39">
        <f t="shared" si="46"/>
        <v>396.39317053177029</v>
      </c>
      <c r="T137" s="98">
        <f t="shared" si="47"/>
        <v>0</v>
      </c>
    </row>
    <row r="138" spans="1:20" x14ac:dyDescent="0.25">
      <c r="A138" s="22">
        <v>404.01</v>
      </c>
      <c r="B138" s="16" t="s">
        <v>433</v>
      </c>
      <c r="C138" s="16"/>
      <c r="E138" s="48"/>
      <c r="F138" s="49">
        <v>0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T138" s="98">
        <f t="shared" si="47"/>
        <v>0</v>
      </c>
    </row>
    <row r="139" spans="1:20" x14ac:dyDescent="0.25">
      <c r="A139" s="22">
        <v>404.02</v>
      </c>
      <c r="B139" s="16" t="s">
        <v>434</v>
      </c>
      <c r="C139" s="16" t="str">
        <f>INDEX('Alloc Amt'!B:B,MATCH(Expenses!D:D,'Alloc Amt'!D:D,0))</f>
        <v>Total General Plant</v>
      </c>
      <c r="D139" s="19">
        <v>70</v>
      </c>
      <c r="E139" s="48"/>
      <c r="F139" s="49">
        <v>77938784.204467431</v>
      </c>
      <c r="G139" s="39">
        <f t="shared" ref="G139:R140" si="48">INDEX(Alloc,($D139),(G$1))*$F139</f>
        <v>46800056.512248173</v>
      </c>
      <c r="H139" s="39">
        <f t="shared" si="48"/>
        <v>9480969.3444901425</v>
      </c>
      <c r="I139" s="39">
        <f t="shared" si="48"/>
        <v>8655202.765487317</v>
      </c>
      <c r="J139" s="39">
        <f t="shared" si="48"/>
        <v>5091038.5246639531</v>
      </c>
      <c r="K139" s="39">
        <f t="shared" si="48"/>
        <v>3764148.9472708763</v>
      </c>
      <c r="L139" s="39">
        <f t="shared" si="48"/>
        <v>21237.451885255177</v>
      </c>
      <c r="M139" s="39">
        <f t="shared" si="48"/>
        <v>464244.74575058336</v>
      </c>
      <c r="N139" s="39">
        <f t="shared" si="48"/>
        <v>480922.18269106554</v>
      </c>
      <c r="O139" s="39">
        <f t="shared" si="48"/>
        <v>1317903.9437566663</v>
      </c>
      <c r="P139" s="39">
        <f t="shared" si="48"/>
        <v>754834.97828366549</v>
      </c>
      <c r="Q139" s="39">
        <f t="shared" si="48"/>
        <v>1086352.7597807932</v>
      </c>
      <c r="R139" s="39">
        <f t="shared" si="48"/>
        <v>21872.048158936024</v>
      </c>
      <c r="T139" s="98">
        <f t="shared" si="47"/>
        <v>0</v>
      </c>
    </row>
    <row r="140" spans="1:20" x14ac:dyDescent="0.25">
      <c r="A140" s="22">
        <v>405</v>
      </c>
      <c r="B140" s="16" t="s">
        <v>435</v>
      </c>
      <c r="C140" s="16" t="str">
        <f>INDEX('Alloc Amt'!B:B,MATCH(Expenses!D:D,'Alloc Amt'!D:D,0))</f>
        <v>Prod Trans Dist Allocation Factor</v>
      </c>
      <c r="D140" s="19">
        <v>75</v>
      </c>
      <c r="E140" s="48"/>
      <c r="F140" s="49">
        <v>2500924.8299999996</v>
      </c>
      <c r="G140" s="39">
        <f t="shared" si="48"/>
        <v>1422797.4652920144</v>
      </c>
      <c r="H140" s="39">
        <f t="shared" si="48"/>
        <v>314440.45389063342</v>
      </c>
      <c r="I140" s="39">
        <f t="shared" si="48"/>
        <v>310808.34155894752</v>
      </c>
      <c r="J140" s="39">
        <f t="shared" si="48"/>
        <v>182118.21562452088</v>
      </c>
      <c r="K140" s="39">
        <f t="shared" si="48"/>
        <v>133608.58682410829</v>
      </c>
      <c r="L140" s="39">
        <f t="shared" si="48"/>
        <v>763.72959148272571</v>
      </c>
      <c r="M140" s="39">
        <f t="shared" si="48"/>
        <v>16641.508999824899</v>
      </c>
      <c r="N140" s="39">
        <f t="shared" si="48"/>
        <v>17261.758401395262</v>
      </c>
      <c r="O140" s="39">
        <f t="shared" si="48"/>
        <v>47472.416874179973</v>
      </c>
      <c r="P140" s="39">
        <f t="shared" si="48"/>
        <v>28605.426673019439</v>
      </c>
      <c r="Q140" s="39">
        <f t="shared" si="48"/>
        <v>25616.794010033242</v>
      </c>
      <c r="R140" s="39">
        <f t="shared" si="48"/>
        <v>790.13225983943641</v>
      </c>
      <c r="T140" s="98">
        <f t="shared" si="47"/>
        <v>0</v>
      </c>
    </row>
    <row r="141" spans="1:20" s="62" customFormat="1" x14ac:dyDescent="0.25">
      <c r="A141" s="22">
        <v>406</v>
      </c>
      <c r="B141" s="16" t="s">
        <v>436</v>
      </c>
      <c r="C141" s="16" t="str">
        <f>INDEX('Alloc Amt'!B:B,MATCH(Expenses!D:D,'Alloc Amt'!D:D,0))</f>
        <v>Total Transmission Plant</v>
      </c>
      <c r="D141" s="62">
        <v>82</v>
      </c>
      <c r="E141" s="64"/>
      <c r="F141" s="63">
        <v>25800</v>
      </c>
      <c r="G141" s="65">
        <f t="shared" ref="G141:R141" si="49">INDEX(Alloc,($D141),(G$1))*$F141</f>
        <v>12286.720998832625</v>
      </c>
      <c r="H141" s="65">
        <f t="shared" si="49"/>
        <v>3163.1504468457802</v>
      </c>
      <c r="I141" s="65">
        <f t="shared" si="49"/>
        <v>3522.8622776496118</v>
      </c>
      <c r="J141" s="65">
        <f t="shared" si="49"/>
        <v>2301.6299434185194</v>
      </c>
      <c r="K141" s="65">
        <f t="shared" si="49"/>
        <v>1595.8674773881144</v>
      </c>
      <c r="L141" s="65">
        <f t="shared" si="49"/>
        <v>5.1967836156967468</v>
      </c>
      <c r="M141" s="65">
        <f t="shared" si="49"/>
        <v>128.58909215536164</v>
      </c>
      <c r="N141" s="65">
        <f t="shared" si="49"/>
        <v>296.82797822292719</v>
      </c>
      <c r="O141" s="65">
        <f t="shared" si="49"/>
        <v>700.97152732071709</v>
      </c>
      <c r="P141" s="65">
        <f t="shared" si="49"/>
        <v>1705.3464674994327</v>
      </c>
      <c r="Q141" s="65">
        <f t="shared" si="49"/>
        <v>84.844202304685297</v>
      </c>
      <c r="R141" s="65">
        <f t="shared" si="49"/>
        <v>7.9928047465305969</v>
      </c>
      <c r="T141" s="98">
        <f t="shared" si="47"/>
        <v>0</v>
      </c>
    </row>
    <row r="142" spans="1:20" s="62" customFormat="1" x14ac:dyDescent="0.25">
      <c r="A142" s="22">
        <v>406.01</v>
      </c>
      <c r="B142" s="16" t="s">
        <v>437</v>
      </c>
      <c r="C142" s="16" t="str">
        <f>INDEX('Alloc Amt'!B:B,MATCH(Expenses!D:D,'Alloc Amt'!D:D,0))</f>
        <v>Total Distribution Plant</v>
      </c>
      <c r="D142" s="62">
        <v>68</v>
      </c>
      <c r="E142" s="63"/>
      <c r="F142" s="49">
        <v>0</v>
      </c>
      <c r="G142" s="65">
        <f>INDEX(Alloc,($D142),(G$1))*$F142</f>
        <v>0</v>
      </c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T142" s="98">
        <f t="shared" si="47"/>
        <v>0</v>
      </c>
    </row>
    <row r="143" spans="1:20" s="62" customFormat="1" x14ac:dyDescent="0.25">
      <c r="A143" s="22">
        <v>406.02</v>
      </c>
      <c r="B143" s="16" t="s">
        <v>438</v>
      </c>
      <c r="C143" s="16" t="str">
        <f>INDEX('Alloc Amt'!B:B,MATCH(Expenses!D:D,'Alloc Amt'!D:D,0))</f>
        <v>Total Production Plant</v>
      </c>
      <c r="D143" s="62">
        <v>73</v>
      </c>
      <c r="E143" s="64"/>
      <c r="F143" s="49">
        <v>715282.68</v>
      </c>
      <c r="G143" s="65">
        <f t="shared" ref="G143:R150" si="50">INDEX(Alloc,($D143),(G$1))*$F143</f>
        <v>364202.35890363285</v>
      </c>
      <c r="H143" s="65">
        <f t="shared" si="50"/>
        <v>95936.411154399335</v>
      </c>
      <c r="I143" s="65">
        <f t="shared" si="50"/>
        <v>107010.52046064331</v>
      </c>
      <c r="J143" s="65">
        <f t="shared" si="50"/>
        <v>70897.512770725094</v>
      </c>
      <c r="K143" s="65">
        <f t="shared" si="50"/>
        <v>48792.156160649472</v>
      </c>
      <c r="L143" s="65">
        <f t="shared" si="50"/>
        <v>177.89687581897726</v>
      </c>
      <c r="M143" s="65">
        <f t="shared" si="50"/>
        <v>3738.5550228264456</v>
      </c>
      <c r="N143" s="65">
        <f t="shared" si="50"/>
        <v>0</v>
      </c>
      <c r="O143" s="65">
        <f t="shared" si="50"/>
        <v>21576.671429490289</v>
      </c>
      <c r="P143" s="65">
        <f t="shared" si="50"/>
        <v>0</v>
      </c>
      <c r="Q143" s="65">
        <f t="shared" si="50"/>
        <v>2716.4234021862708</v>
      </c>
      <c r="R143" s="65">
        <f t="shared" si="50"/>
        <v>234.17381962795031</v>
      </c>
      <c r="T143" s="98">
        <f t="shared" si="47"/>
        <v>0</v>
      </c>
    </row>
    <row r="144" spans="1:20" x14ac:dyDescent="0.25">
      <c r="A144" s="22">
        <v>406.03</v>
      </c>
      <c r="B144" s="16" t="s">
        <v>439</v>
      </c>
      <c r="C144" s="16" t="str">
        <f>INDEX('Alloc Amt'!B:B,MATCH(Expenses!D:D,'Alloc Amt'!D:D,0))</f>
        <v>Total Production Plant</v>
      </c>
      <c r="D144" s="19">
        <v>73</v>
      </c>
      <c r="E144" s="48"/>
      <c r="F144" s="49">
        <v>8414393.160000002</v>
      </c>
      <c r="G144" s="39">
        <f t="shared" si="50"/>
        <v>4284378.6426012637</v>
      </c>
      <c r="H144" s="39">
        <f t="shared" si="50"/>
        <v>1128570.1504928451</v>
      </c>
      <c r="I144" s="39">
        <f t="shared" si="50"/>
        <v>1258842.9953484645</v>
      </c>
      <c r="J144" s="39">
        <f t="shared" si="50"/>
        <v>834019.28104704281</v>
      </c>
      <c r="K144" s="39">
        <f t="shared" si="50"/>
        <v>573977.80840970576</v>
      </c>
      <c r="L144" s="39">
        <f t="shared" si="50"/>
        <v>2092.7310235955551</v>
      </c>
      <c r="M144" s="39">
        <f t="shared" si="50"/>
        <v>43979.356262833724</v>
      </c>
      <c r="N144" s="39">
        <f t="shared" si="50"/>
        <v>0</v>
      </c>
      <c r="O144" s="39">
        <f t="shared" si="50"/>
        <v>253822.16229794707</v>
      </c>
      <c r="P144" s="39">
        <f t="shared" si="50"/>
        <v>0</v>
      </c>
      <c r="Q144" s="39">
        <f t="shared" si="50"/>
        <v>31955.274654518533</v>
      </c>
      <c r="R144" s="39">
        <f t="shared" si="50"/>
        <v>2754.7578617847967</v>
      </c>
      <c r="T144" s="98">
        <f t="shared" si="47"/>
        <v>0</v>
      </c>
    </row>
    <row r="145" spans="1:20" x14ac:dyDescent="0.25">
      <c r="A145" s="22">
        <v>407</v>
      </c>
      <c r="B145" s="16" t="s">
        <v>440</v>
      </c>
      <c r="C145" s="16" t="str">
        <f>INDEX('Alloc Amt'!B:B,MATCH(Expenses!D:D,'Alloc Amt'!D:D,0))</f>
        <v>Total Production Plant</v>
      </c>
      <c r="D145" s="19">
        <v>73</v>
      </c>
      <c r="E145" s="48"/>
      <c r="F145" s="49">
        <v>10322245.039999999</v>
      </c>
      <c r="G145" s="39">
        <f t="shared" si="50"/>
        <v>5255804.5900808387</v>
      </c>
      <c r="H145" s="39">
        <f t="shared" si="50"/>
        <v>1384458.4412331905</v>
      </c>
      <c r="I145" s="39">
        <f t="shared" si="50"/>
        <v>1544268.9232356274</v>
      </c>
      <c r="J145" s="39">
        <f t="shared" si="50"/>
        <v>1023122.0746823531</v>
      </c>
      <c r="K145" s="39">
        <f t="shared" si="50"/>
        <v>704119.65227533458</v>
      </c>
      <c r="L145" s="39">
        <f t="shared" si="50"/>
        <v>2567.2299852890797</v>
      </c>
      <c r="M145" s="39">
        <f t="shared" si="50"/>
        <v>53951.091114267379</v>
      </c>
      <c r="N145" s="39">
        <f t="shared" si="50"/>
        <v>0</v>
      </c>
      <c r="O145" s="39">
        <f t="shared" si="50"/>
        <v>311372.96605974832</v>
      </c>
      <c r="P145" s="39">
        <f t="shared" si="50"/>
        <v>0</v>
      </c>
      <c r="Q145" s="39">
        <f t="shared" si="50"/>
        <v>39200.708718065362</v>
      </c>
      <c r="R145" s="39">
        <f t="shared" si="50"/>
        <v>3379.3626152844413</v>
      </c>
      <c r="T145" s="98">
        <f t="shared" si="47"/>
        <v>0</v>
      </c>
    </row>
    <row r="146" spans="1:20" x14ac:dyDescent="0.25">
      <c r="A146" s="22">
        <v>407.01</v>
      </c>
      <c r="B146" s="16" t="s">
        <v>441</v>
      </c>
      <c r="C146" s="16" t="str">
        <f>INDEX('Alloc Amt'!B:B,MATCH(Expenses!D:D,'Alloc Amt'!D:D,0))</f>
        <v>Total Transmission &amp; Distribution Plant</v>
      </c>
      <c r="D146" s="19">
        <v>80</v>
      </c>
      <c r="E146" s="48"/>
      <c r="F146" s="49">
        <v>32828154.283406239</v>
      </c>
      <c r="G146" s="39">
        <f t="shared" si="50"/>
        <v>20089995.090054035</v>
      </c>
      <c r="H146" s="39">
        <f t="shared" si="50"/>
        <v>3928808.6064994475</v>
      </c>
      <c r="I146" s="39">
        <f t="shared" si="50"/>
        <v>3480341.9597142432</v>
      </c>
      <c r="J146" s="39">
        <f t="shared" si="50"/>
        <v>1768163.2326920587</v>
      </c>
      <c r="K146" s="39">
        <f t="shared" si="50"/>
        <v>1403760.2515714064</v>
      </c>
      <c r="L146" s="39">
        <f t="shared" si="50"/>
        <v>11366.25040739516</v>
      </c>
      <c r="M146" s="39">
        <f t="shared" si="50"/>
        <v>252227.10255446131</v>
      </c>
      <c r="N146" s="39">
        <f t="shared" si="50"/>
        <v>389939.01060295169</v>
      </c>
      <c r="O146" s="39">
        <f t="shared" si="50"/>
        <v>358465.64890061988</v>
      </c>
      <c r="P146" s="39">
        <f t="shared" si="50"/>
        <v>646189.77484071848</v>
      </c>
      <c r="Q146" s="39">
        <f t="shared" si="50"/>
        <v>488796.75635079213</v>
      </c>
      <c r="R146" s="39">
        <f t="shared" si="50"/>
        <v>10100.599218103323</v>
      </c>
      <c r="T146" s="98">
        <f t="shared" si="47"/>
        <v>0</v>
      </c>
    </row>
    <row r="147" spans="1:20" x14ac:dyDescent="0.25">
      <c r="A147" s="22">
        <v>407.02</v>
      </c>
      <c r="B147" s="16" t="s">
        <v>442</v>
      </c>
      <c r="C147" s="16" t="str">
        <f>INDEX('Alloc Amt'!B:B,MATCH(Expenses!D:D,'Alloc Amt'!D:D,0))</f>
        <v>Total Production Plant</v>
      </c>
      <c r="D147" s="19">
        <v>73</v>
      </c>
      <c r="E147" s="48"/>
      <c r="F147" s="49">
        <v>17023692.917146448</v>
      </c>
      <c r="G147" s="39">
        <f t="shared" si="50"/>
        <v>8667998.388659155</v>
      </c>
      <c r="H147" s="39">
        <f t="shared" si="50"/>
        <v>2283281.9090007846</v>
      </c>
      <c r="I147" s="39">
        <f t="shared" si="50"/>
        <v>2546845.1706757508</v>
      </c>
      <c r="J147" s="39">
        <f t="shared" si="50"/>
        <v>1687357.3480044177</v>
      </c>
      <c r="K147" s="39">
        <f t="shared" si="50"/>
        <v>1161250.9382225666</v>
      </c>
      <c r="L147" s="39">
        <f t="shared" si="50"/>
        <v>4233.9369728091333</v>
      </c>
      <c r="M147" s="39">
        <f t="shared" si="50"/>
        <v>88977.427305317717</v>
      </c>
      <c r="N147" s="39">
        <f t="shared" si="50"/>
        <v>0</v>
      </c>
      <c r="O147" s="39">
        <f t="shared" si="50"/>
        <v>513523.72825497459</v>
      </c>
      <c r="P147" s="39">
        <f t="shared" si="50"/>
        <v>0</v>
      </c>
      <c r="Q147" s="39">
        <f t="shared" si="50"/>
        <v>64650.744558458027</v>
      </c>
      <c r="R147" s="39">
        <f t="shared" si="50"/>
        <v>5573.3254922116485</v>
      </c>
      <c r="T147" s="98">
        <f t="shared" si="47"/>
        <v>0</v>
      </c>
    </row>
    <row r="148" spans="1:20" x14ac:dyDescent="0.25">
      <c r="A148" s="22">
        <v>411</v>
      </c>
      <c r="B148" s="16" t="s">
        <v>443</v>
      </c>
      <c r="C148" s="16" t="str">
        <f>INDEX('Alloc Amt'!B:B,MATCH(Expenses!D:D,'Alloc Amt'!D:D,0))</f>
        <v>Total Production Plant</v>
      </c>
      <c r="D148" s="19">
        <v>73</v>
      </c>
      <c r="E148" s="48"/>
      <c r="F148" s="49">
        <v>3537694.08</v>
      </c>
      <c r="G148" s="39">
        <f t="shared" si="50"/>
        <v>1801296.9767636722</v>
      </c>
      <c r="H148" s="39">
        <f t="shared" si="50"/>
        <v>474488.87452072022</v>
      </c>
      <c r="I148" s="39">
        <f t="shared" si="50"/>
        <v>529259.96297203319</v>
      </c>
      <c r="J148" s="39">
        <f t="shared" si="50"/>
        <v>350649.77557644557</v>
      </c>
      <c r="K148" s="39">
        <f t="shared" si="50"/>
        <v>241319.58850166085</v>
      </c>
      <c r="L148" s="39">
        <f t="shared" si="50"/>
        <v>879.85455545392347</v>
      </c>
      <c r="M148" s="39">
        <f t="shared" si="50"/>
        <v>18490.401545871879</v>
      </c>
      <c r="N148" s="39">
        <f t="shared" si="50"/>
        <v>0</v>
      </c>
      <c r="O148" s="39">
        <f t="shared" si="50"/>
        <v>106715.37969046438</v>
      </c>
      <c r="P148" s="39">
        <f t="shared" si="50"/>
        <v>0</v>
      </c>
      <c r="Q148" s="39">
        <f t="shared" si="50"/>
        <v>13435.072954216967</v>
      </c>
      <c r="R148" s="39">
        <f t="shared" si="50"/>
        <v>1158.1929194605796</v>
      </c>
      <c r="T148" s="98">
        <f t="shared" si="47"/>
        <v>0</v>
      </c>
    </row>
    <row r="149" spans="1:20" x14ac:dyDescent="0.25">
      <c r="A149" s="22">
        <v>411.01</v>
      </c>
      <c r="B149" s="16" t="s">
        <v>444</v>
      </c>
      <c r="C149" s="16" t="str">
        <f>INDEX('Alloc Amt'!B:B,MATCH(Expenses!D:D,'Alloc Amt'!D:D,0))</f>
        <v>Prod Trans Dist Allocation Factor</v>
      </c>
      <c r="D149" s="19">
        <v>75</v>
      </c>
      <c r="E149" s="48"/>
      <c r="F149" s="49">
        <v>-4297707.3533333335</v>
      </c>
      <c r="G149" s="39">
        <f t="shared" si="50"/>
        <v>-2445002.3669402008</v>
      </c>
      <c r="H149" s="39">
        <f t="shared" si="50"/>
        <v>-540349.32784095174</v>
      </c>
      <c r="I149" s="39">
        <f t="shared" si="50"/>
        <v>-534107.73445566825</v>
      </c>
      <c r="J149" s="39">
        <f t="shared" si="50"/>
        <v>-312960.54366634006</v>
      </c>
      <c r="K149" s="39">
        <f t="shared" si="50"/>
        <v>-229599.30629440211</v>
      </c>
      <c r="L149" s="39">
        <f t="shared" si="50"/>
        <v>-1312.4290030234831</v>
      </c>
      <c r="M149" s="39">
        <f t="shared" si="50"/>
        <v>-28597.555088894987</v>
      </c>
      <c r="N149" s="39">
        <f t="shared" si="50"/>
        <v>-29663.420956614624</v>
      </c>
      <c r="O149" s="39">
        <f t="shared" si="50"/>
        <v>-81578.843407568042</v>
      </c>
      <c r="P149" s="39">
        <f t="shared" si="50"/>
        <v>-49156.91630678605</v>
      </c>
      <c r="Q149" s="39">
        <f t="shared" si="50"/>
        <v>-44021.108777485795</v>
      </c>
      <c r="R149" s="39">
        <f t="shared" si="50"/>
        <v>-1357.8005953972756</v>
      </c>
      <c r="T149" s="98">
        <f t="shared" si="47"/>
        <v>0</v>
      </c>
    </row>
    <row r="150" spans="1:20" x14ac:dyDescent="0.25">
      <c r="A150" s="22">
        <v>411.02</v>
      </c>
      <c r="B150" s="16" t="s">
        <v>445</v>
      </c>
      <c r="C150" s="16" t="str">
        <f>INDEX('Alloc Amt'!B:B,MATCH(Expenses!D:D,'Alloc Amt'!D:D,0))</f>
        <v>Prod Trans Dist Allocation Factor</v>
      </c>
      <c r="D150" s="19">
        <v>75</v>
      </c>
      <c r="E150" s="48"/>
      <c r="F150" s="49">
        <v>-4419.1099999999997</v>
      </c>
      <c r="G150" s="39">
        <f t="shared" si="50"/>
        <v>-2514.0693680291838</v>
      </c>
      <c r="H150" s="39">
        <f t="shared" si="50"/>
        <v>-555.61324255900854</v>
      </c>
      <c r="I150" s="39">
        <f t="shared" si="50"/>
        <v>-549.19533517789125</v>
      </c>
      <c r="J150" s="39">
        <f t="shared" si="50"/>
        <v>-321.80112660502334</v>
      </c>
      <c r="K150" s="39">
        <f t="shared" si="50"/>
        <v>-236.08508142177359</v>
      </c>
      <c r="L150" s="39">
        <f t="shared" si="50"/>
        <v>-1.3495028057349603</v>
      </c>
      <c r="M150" s="39">
        <f t="shared" si="50"/>
        <v>-29.405385541402385</v>
      </c>
      <c r="N150" s="39">
        <f t="shared" si="50"/>
        <v>-30.501360238480185</v>
      </c>
      <c r="O150" s="39">
        <f t="shared" si="50"/>
        <v>-83.883301735565354</v>
      </c>
      <c r="P150" s="39">
        <f t="shared" si="50"/>
        <v>-50.545512423500924</v>
      </c>
      <c r="Q150" s="39">
        <f t="shared" si="50"/>
        <v>-45.264627396929001</v>
      </c>
      <c r="R150" s="39">
        <f t="shared" si="50"/>
        <v>-1.3961560655059959</v>
      </c>
      <c r="T150" s="98">
        <f t="shared" si="47"/>
        <v>0</v>
      </c>
    </row>
    <row r="151" spans="1:20" x14ac:dyDescent="0.25">
      <c r="A151" s="25"/>
      <c r="B151" s="24" t="s">
        <v>446</v>
      </c>
      <c r="C151" s="24"/>
      <c r="D151" s="54"/>
      <c r="E151" s="50"/>
      <c r="F151" s="50">
        <f t="shared" ref="F151:R151" si="51">SUM(F108:F150)</f>
        <v>497013983.85999936</v>
      </c>
      <c r="G151" s="50">
        <f t="shared" si="51"/>
        <v>288085626.79218417</v>
      </c>
      <c r="H151" s="50">
        <f t="shared" si="51"/>
        <v>62799995.783945754</v>
      </c>
      <c r="I151" s="50">
        <f t="shared" si="51"/>
        <v>59642644.781053208</v>
      </c>
      <c r="J151" s="50">
        <f t="shared" si="51"/>
        <v>34902559.954939641</v>
      </c>
      <c r="K151" s="50">
        <f t="shared" si="51"/>
        <v>26152334.162770808</v>
      </c>
      <c r="L151" s="50">
        <f t="shared" si="51"/>
        <v>145921.17287117717</v>
      </c>
      <c r="M151" s="50">
        <f t="shared" si="51"/>
        <v>3340473.8754683211</v>
      </c>
      <c r="N151" s="50">
        <f t="shared" si="51"/>
        <v>2072479.5489747215</v>
      </c>
      <c r="O151" s="50">
        <f t="shared" si="51"/>
        <v>9014460.1571244877</v>
      </c>
      <c r="P151" s="50">
        <f t="shared" si="51"/>
        <v>4331027.0723627508</v>
      </c>
      <c r="Q151" s="50">
        <f t="shared" si="51"/>
        <v>6372937.6853912594</v>
      </c>
      <c r="R151" s="50">
        <f t="shared" si="51"/>
        <v>153522.87291315166</v>
      </c>
      <c r="T151" s="98">
        <f t="shared" si="47"/>
        <v>0</v>
      </c>
    </row>
    <row r="152" spans="1:20" x14ac:dyDescent="0.25">
      <c r="A152" s="22"/>
      <c r="B152" s="16"/>
      <c r="C152" s="16"/>
      <c r="E152" s="48"/>
      <c r="F152" s="49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T152" s="98">
        <f t="shared" si="47"/>
        <v>0</v>
      </c>
    </row>
    <row r="153" spans="1:20" x14ac:dyDescent="0.25">
      <c r="A153" s="22"/>
      <c r="B153" s="20" t="s">
        <v>447</v>
      </c>
      <c r="C153" s="16"/>
      <c r="E153" s="48"/>
      <c r="F153" s="49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T153" s="98">
        <f t="shared" si="47"/>
        <v>0</v>
      </c>
    </row>
    <row r="154" spans="1:20" x14ac:dyDescent="0.25">
      <c r="A154" s="22">
        <v>236</v>
      </c>
      <c r="B154" s="16" t="s">
        <v>448</v>
      </c>
      <c r="C154" s="16" t="str">
        <f>INDEX('Alloc Amt'!B:B,MATCH(Expenses!D:D,'Alloc Amt'!D:D,0))</f>
        <v>Total Prod, Trans, Dist &amp; Gen Plant</v>
      </c>
      <c r="D154" s="19">
        <v>74</v>
      </c>
      <c r="E154" s="48"/>
      <c r="F154" s="49">
        <v>1.6871670037508011</v>
      </c>
      <c r="G154" s="65">
        <f t="shared" ref="G154:R156" si="52">INDEX(Alloc,($D154),(G$1))*$F154</f>
        <v>0.96263006420043296</v>
      </c>
      <c r="H154" s="65">
        <f t="shared" si="52"/>
        <v>0.21176648332611919</v>
      </c>
      <c r="I154" s="65">
        <f t="shared" si="52"/>
        <v>0.20850909107794705</v>
      </c>
      <c r="J154" s="65">
        <f t="shared" si="52"/>
        <v>0.12219805765843177</v>
      </c>
      <c r="K154" s="65">
        <f t="shared" si="52"/>
        <v>8.9682013848895098E-2</v>
      </c>
      <c r="L154" s="65">
        <f t="shared" si="52"/>
        <v>5.1232167793167601E-4</v>
      </c>
      <c r="M154" s="65">
        <f t="shared" si="52"/>
        <v>1.1165064935807616E-2</v>
      </c>
      <c r="N154" s="65">
        <f t="shared" si="52"/>
        <v>1.1580492049882384E-2</v>
      </c>
      <c r="O154" s="65">
        <f t="shared" si="52"/>
        <v>3.1842756838910295E-2</v>
      </c>
      <c r="P154" s="65">
        <f t="shared" si="52"/>
        <v>1.9142965120583146E-2</v>
      </c>
      <c r="Q154" s="65">
        <f t="shared" si="52"/>
        <v>1.7607772827775613E-2</v>
      </c>
      <c r="R154" s="65">
        <f t="shared" si="52"/>
        <v>5.2992018808416307E-4</v>
      </c>
      <c r="T154" s="98">
        <f t="shared" si="47"/>
        <v>0</v>
      </c>
    </row>
    <row r="155" spans="1:20" x14ac:dyDescent="0.25">
      <c r="A155" s="22">
        <v>236.01</v>
      </c>
      <c r="B155" s="16" t="s">
        <v>449</v>
      </c>
      <c r="C155" s="16" t="str">
        <f>INDEX('Alloc Amt'!B:B,MATCH(Expenses!D:D,'Alloc Amt'!D:D,0))</f>
        <v>Salary &amp; Wages - Total</v>
      </c>
      <c r="D155" s="19">
        <v>78</v>
      </c>
      <c r="E155" s="48"/>
      <c r="F155" s="49">
        <v>7271650.778474519</v>
      </c>
      <c r="G155" s="65">
        <f t="shared" si="52"/>
        <v>4377972.9915589727</v>
      </c>
      <c r="H155" s="65">
        <f t="shared" si="52"/>
        <v>882941.66931020515</v>
      </c>
      <c r="I155" s="65">
        <f t="shared" si="52"/>
        <v>802451.07262711821</v>
      </c>
      <c r="J155" s="65">
        <f t="shared" si="52"/>
        <v>472194.61085624411</v>
      </c>
      <c r="K155" s="65">
        <f t="shared" si="52"/>
        <v>349257.18646312138</v>
      </c>
      <c r="L155" s="65">
        <f t="shared" si="52"/>
        <v>1967.6597440755004</v>
      </c>
      <c r="M155" s="65">
        <f t="shared" si="52"/>
        <v>43026.222477464449</v>
      </c>
      <c r="N155" s="65">
        <f t="shared" si="52"/>
        <v>44625.610435798342</v>
      </c>
      <c r="O155" s="65">
        <f t="shared" si="52"/>
        <v>122218.40122088892</v>
      </c>
      <c r="P155" s="65">
        <f t="shared" si="52"/>
        <v>70225.650614297134</v>
      </c>
      <c r="Q155" s="65">
        <f t="shared" si="52"/>
        <v>102742.9307415626</v>
      </c>
      <c r="R155" s="65">
        <f t="shared" si="52"/>
        <v>2026.7724247697247</v>
      </c>
      <c r="T155" s="98">
        <f t="shared" si="47"/>
        <v>0</v>
      </c>
    </row>
    <row r="156" spans="1:20" s="56" customFormat="1" x14ac:dyDescent="0.25">
      <c r="A156" s="22">
        <v>236.02</v>
      </c>
      <c r="B156" s="16" t="s">
        <v>450</v>
      </c>
      <c r="C156" s="16" t="str">
        <f>INDEX('Alloc Amt'!B:B,MATCH(Expenses!D:D,'Alloc Amt'!D:D,0))</f>
        <v>Firm Sales Revenue</v>
      </c>
      <c r="D156" s="62">
        <v>84</v>
      </c>
      <c r="E156" s="63"/>
      <c r="F156" s="49">
        <v>78476383.807139233</v>
      </c>
      <c r="G156" s="65">
        <f>INDEX(Alloc,($D156),(G$1))*$F156</f>
        <v>43458515.5860686</v>
      </c>
      <c r="H156" s="65">
        <f t="shared" si="52"/>
        <v>10350476.092688439</v>
      </c>
      <c r="I156" s="65">
        <f t="shared" si="52"/>
        <v>10637850.451390972</v>
      </c>
      <c r="J156" s="65">
        <f t="shared" si="52"/>
        <v>6298570.6725555714</v>
      </c>
      <c r="K156" s="65">
        <f t="shared" si="52"/>
        <v>4450600.6167540615</v>
      </c>
      <c r="L156" s="65">
        <f t="shared" si="52"/>
        <v>10532.170475064138</v>
      </c>
      <c r="M156" s="65">
        <f t="shared" si="52"/>
        <v>419973.74601289415</v>
      </c>
      <c r="N156" s="65">
        <f t="shared" si="52"/>
        <v>215880.6504987868</v>
      </c>
      <c r="O156" s="65">
        <f t="shared" si="52"/>
        <v>1576923.2453266236</v>
      </c>
      <c r="P156" s="65">
        <f t="shared" si="52"/>
        <v>397583.27647052257</v>
      </c>
      <c r="Q156" s="65">
        <f t="shared" si="52"/>
        <v>646731.63491588214</v>
      </c>
      <c r="R156" s="65">
        <f t="shared" si="52"/>
        <v>12745.663981822165</v>
      </c>
      <c r="T156" s="98">
        <f t="shared" si="47"/>
        <v>0</v>
      </c>
    </row>
    <row r="157" spans="1:20" x14ac:dyDescent="0.25">
      <c r="A157" s="22">
        <v>236.03</v>
      </c>
      <c r="B157" s="16" t="s">
        <v>451</v>
      </c>
      <c r="C157" s="16"/>
      <c r="E157" s="48"/>
      <c r="F157" s="49">
        <v>0</v>
      </c>
      <c r="G157" s="65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T157" s="98">
        <f t="shared" si="47"/>
        <v>0</v>
      </c>
    </row>
    <row r="158" spans="1:20" x14ac:dyDescent="0.25">
      <c r="A158" s="22">
        <v>236.04</v>
      </c>
      <c r="B158" s="16" t="s">
        <v>452</v>
      </c>
      <c r="C158" s="16" t="str">
        <f>INDEX('Alloc Amt'!B:B,MATCH(Expenses!D:D,'Alloc Amt'!D:D,0))</f>
        <v>Energy - NO RETAIL WHEELING</v>
      </c>
      <c r="D158" s="19">
        <v>52</v>
      </c>
      <c r="E158" s="48"/>
      <c r="F158" s="49">
        <v>747526.2321675783</v>
      </c>
      <c r="G158" s="65">
        <f t="shared" ref="G158:R158" si="53">INDEX(Alloc,($D158),(G$1))*$F158</f>
        <v>389433.90493976098</v>
      </c>
      <c r="H158" s="65">
        <f t="shared" si="53"/>
        <v>98950.585681266166</v>
      </c>
      <c r="I158" s="65">
        <f t="shared" si="53"/>
        <v>110040.62889680151</v>
      </c>
      <c r="J158" s="65">
        <f t="shared" si="53"/>
        <v>71016.460487840945</v>
      </c>
      <c r="K158" s="65">
        <f t="shared" si="53"/>
        <v>49409.190293366635</v>
      </c>
      <c r="L158" s="65">
        <f t="shared" si="53"/>
        <v>156.01487249263829</v>
      </c>
      <c r="M158" s="65">
        <f t="shared" si="53"/>
        <v>4305.9347772547744</v>
      </c>
      <c r="N158" s="65">
        <f t="shared" si="53"/>
        <v>0</v>
      </c>
      <c r="O158" s="65">
        <f t="shared" si="53"/>
        <v>21386.306468412899</v>
      </c>
      <c r="P158" s="65">
        <f t="shared" si="53"/>
        <v>0</v>
      </c>
      <c r="Q158" s="65">
        <f t="shared" si="53"/>
        <v>2575.1764315864129</v>
      </c>
      <c r="R158" s="65">
        <f t="shared" si="53"/>
        <v>252.02931879550664</v>
      </c>
      <c r="T158" s="98">
        <f t="shared" si="47"/>
        <v>0</v>
      </c>
    </row>
    <row r="159" spans="1:20" x14ac:dyDescent="0.25">
      <c r="A159" s="25"/>
      <c r="B159" s="24" t="s">
        <v>453</v>
      </c>
      <c r="C159" s="24"/>
      <c r="D159" s="54"/>
      <c r="E159" s="55"/>
      <c r="F159" s="50">
        <f>SUM(F154:F158)</f>
        <v>86495562.504948333</v>
      </c>
      <c r="G159" s="50">
        <f t="shared" ref="G159:R159" si="54">SUM(G154:G158)</f>
        <v>48225923.445197403</v>
      </c>
      <c r="H159" s="50">
        <f t="shared" si="54"/>
        <v>11332368.559446394</v>
      </c>
      <c r="I159" s="50">
        <f t="shared" si="54"/>
        <v>11550342.361423982</v>
      </c>
      <c r="J159" s="50">
        <f t="shared" si="54"/>
        <v>6841781.8660977138</v>
      </c>
      <c r="K159" s="50">
        <f t="shared" si="54"/>
        <v>4849267.0831925636</v>
      </c>
      <c r="L159" s="50">
        <f t="shared" si="54"/>
        <v>12655.845603953954</v>
      </c>
      <c r="M159" s="50">
        <f t="shared" si="54"/>
        <v>467305.91443267831</v>
      </c>
      <c r="N159" s="50">
        <f t="shared" si="54"/>
        <v>260506.2725150772</v>
      </c>
      <c r="O159" s="50">
        <f t="shared" si="54"/>
        <v>1720527.9848586824</v>
      </c>
      <c r="P159" s="50">
        <f t="shared" si="54"/>
        <v>467808.94622778485</v>
      </c>
      <c r="Q159" s="50">
        <f t="shared" si="54"/>
        <v>752049.75969680399</v>
      </c>
      <c r="R159" s="50">
        <f t="shared" si="54"/>
        <v>15024.466255307583</v>
      </c>
      <c r="T159" s="98">
        <f t="shared" si="47"/>
        <v>0</v>
      </c>
    </row>
    <row r="160" spans="1:20" x14ac:dyDescent="0.25">
      <c r="A160" s="22"/>
      <c r="B160" s="16"/>
      <c r="C160" s="16"/>
      <c r="E160" s="48"/>
      <c r="F160" s="49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T160" s="98">
        <f t="shared" si="47"/>
        <v>0</v>
      </c>
    </row>
    <row r="161" spans="1:20" x14ac:dyDescent="0.25">
      <c r="A161" s="22"/>
      <c r="B161" s="20" t="s">
        <v>454</v>
      </c>
      <c r="C161" s="16"/>
      <c r="E161" s="48"/>
      <c r="F161" s="49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T161" s="98">
        <f t="shared" si="47"/>
        <v>0</v>
      </c>
    </row>
    <row r="162" spans="1:20" x14ac:dyDescent="0.25">
      <c r="A162" s="22" t="s">
        <v>455</v>
      </c>
      <c r="B162" s="16" t="s">
        <v>456</v>
      </c>
      <c r="C162" s="16" t="str">
        <f>INDEX('Alloc Amt'!B:B,MATCH(Expenses!D:D,'Alloc Amt'!D:D,0))</f>
        <v>Total Ratebase</v>
      </c>
      <c r="D162" s="19">
        <v>76</v>
      </c>
      <c r="E162" s="48"/>
      <c r="F162" s="49">
        <v>75069264.46233812</v>
      </c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T162" s="98">
        <f t="shared" si="47"/>
        <v>75069264.46233812</v>
      </c>
    </row>
    <row r="163" spans="1:20" x14ac:dyDescent="0.25">
      <c r="A163" s="22" t="s">
        <v>457</v>
      </c>
      <c r="B163" s="16" t="s">
        <v>458</v>
      </c>
      <c r="C163" s="16" t="str">
        <f>INDEX('Alloc Amt'!B:B,MATCH(Expenses!D:D,'Alloc Amt'!D:D,0))</f>
        <v>Total Ratebase</v>
      </c>
      <c r="D163" s="19">
        <v>76</v>
      </c>
      <c r="E163" s="48"/>
      <c r="F163" s="49">
        <v>-60815173.145295307</v>
      </c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T163" s="98">
        <f t="shared" si="47"/>
        <v>-60815173.145295307</v>
      </c>
    </row>
    <row r="164" spans="1:20" x14ac:dyDescent="0.25">
      <c r="A164" s="25"/>
      <c r="B164" s="24" t="s">
        <v>459</v>
      </c>
      <c r="C164" s="24"/>
      <c r="D164" s="54"/>
      <c r="E164" s="55"/>
      <c r="F164" s="50">
        <f>SUM(F162:F163)</f>
        <v>14254091.317042813</v>
      </c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T164" s="98">
        <f t="shared" si="47"/>
        <v>14254091.317042813</v>
      </c>
    </row>
    <row r="165" spans="1:20" x14ac:dyDescent="0.25">
      <c r="A165" s="22"/>
      <c r="B165" s="16"/>
      <c r="C165" s="16"/>
      <c r="E165" s="48"/>
      <c r="F165" s="49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T165" s="98">
        <f t="shared" si="47"/>
        <v>0</v>
      </c>
    </row>
    <row r="166" spans="1:20" ht="15.75" thickBot="1" x14ac:dyDescent="0.3">
      <c r="A166" s="29"/>
      <c r="B166" s="28" t="s">
        <v>321</v>
      </c>
      <c r="C166" s="28"/>
      <c r="D166" s="70"/>
      <c r="E166" s="51">
        <v>1740964054.9918489</v>
      </c>
      <c r="F166" s="51">
        <f>SUM(F105,F151,F159,F164)</f>
        <v>1740964054.9918489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T166" s="98">
        <f t="shared" si="47"/>
        <v>1740964054.9918489</v>
      </c>
    </row>
    <row r="167" spans="1:20" ht="15.75" thickTop="1" x14ac:dyDescent="0.25">
      <c r="A167" s="43"/>
      <c r="B167" s="16"/>
      <c r="C167" s="16"/>
      <c r="E167" s="48"/>
      <c r="F167" s="49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T167" s="98">
        <f t="shared" si="47"/>
        <v>0</v>
      </c>
    </row>
    <row r="168" spans="1:20" x14ac:dyDescent="0.25">
      <c r="A168" s="43"/>
      <c r="B168" s="16"/>
      <c r="C168" s="16"/>
      <c r="E168" s="48"/>
      <c r="F168" s="49">
        <v>1740964054.9918489</v>
      </c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T168" s="98">
        <f t="shared" si="47"/>
        <v>1740964054.9918489</v>
      </c>
    </row>
    <row r="169" spans="1:20" x14ac:dyDescent="0.25">
      <c r="A169" s="16"/>
      <c r="B169" s="16"/>
      <c r="C169" s="16"/>
      <c r="E169" s="48"/>
      <c r="F169" s="52">
        <v>0</v>
      </c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</row>
    <row r="170" spans="1:20" x14ac:dyDescent="0.25">
      <c r="A170" s="45"/>
      <c r="B170" s="45"/>
      <c r="C170" s="46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</row>
  </sheetData>
  <autoFilter ref="D1:D170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workbookViewId="0">
      <selection activeCell="L35" sqref="L35:M35"/>
    </sheetView>
  </sheetViews>
  <sheetFormatPr defaultRowHeight="15" x14ac:dyDescent="0.25"/>
  <cols>
    <col min="2" max="2" width="45.140625" bestFit="1" customWidth="1"/>
    <col min="3" max="3" width="25.42578125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R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x14ac:dyDescent="0.25">
      <c r="B8" t="s">
        <v>180</v>
      </c>
      <c r="C8" t="s">
        <v>485</v>
      </c>
      <c r="D8" t="s">
        <v>319</v>
      </c>
      <c r="F8" t="s">
        <v>1</v>
      </c>
    </row>
    <row r="9" spans="1:20" x14ac:dyDescent="0.25">
      <c r="A9" s="21"/>
      <c r="B9" s="20" t="s">
        <v>461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463</v>
      </c>
      <c r="B12" s="16" t="s">
        <v>464</v>
      </c>
      <c r="C12" t="str">
        <f>INDEX('Alloc Amt'!B:B,MATCH(Labor!D:D,'Alloc Amt'!D:D,0))</f>
        <v>Total Production Plant</v>
      </c>
      <c r="D12">
        <v>73</v>
      </c>
      <c r="F12" s="49">
        <v>28389225.455022946</v>
      </c>
      <c r="G12" s="39">
        <f t="shared" ref="G12:R12" si="8">INDEX(Alloc,($D12),(G$1))*$F12</f>
        <v>14455016.411366783</v>
      </c>
      <c r="H12" s="39">
        <f t="shared" si="8"/>
        <v>3807670.0048266519</v>
      </c>
      <c r="I12" s="39">
        <f t="shared" si="8"/>
        <v>4247196.0755663039</v>
      </c>
      <c r="J12" s="39">
        <f t="shared" si="8"/>
        <v>2813888.1739013772</v>
      </c>
      <c r="K12" s="39">
        <f t="shared" si="8"/>
        <v>1936537.2046774076</v>
      </c>
      <c r="L12" s="39">
        <f t="shared" si="8"/>
        <v>7060.6414171375782</v>
      </c>
      <c r="M12" s="39">
        <f t="shared" si="8"/>
        <v>148381.45028064767</v>
      </c>
      <c r="N12" s="39">
        <f t="shared" si="8"/>
        <v>0</v>
      </c>
      <c r="O12" s="39">
        <f t="shared" si="8"/>
        <v>856367.70875082852</v>
      </c>
      <c r="P12" s="39">
        <f t="shared" si="8"/>
        <v>0</v>
      </c>
      <c r="Q12" s="39">
        <f t="shared" si="8"/>
        <v>107813.53799307221</v>
      </c>
      <c r="R12" s="39">
        <f t="shared" si="8"/>
        <v>9294.2462427326755</v>
      </c>
      <c r="T12" s="11">
        <f>F12-SUM(G12:R12)</f>
        <v>0</v>
      </c>
    </row>
    <row r="13" spans="1:20" s="59" customFormat="1" x14ac:dyDescent="0.25">
      <c r="A13" s="57"/>
      <c r="B13" s="59" t="s">
        <v>188</v>
      </c>
      <c r="F13" s="61">
        <f>SUM(F12)</f>
        <v>28389225.455022946</v>
      </c>
      <c r="G13" s="61">
        <f t="shared" ref="G13:R13" si="9">SUM(G12)</f>
        <v>14455016.411366783</v>
      </c>
      <c r="H13" s="61">
        <f t="shared" si="9"/>
        <v>3807670.0048266519</v>
      </c>
      <c r="I13" s="61">
        <f t="shared" si="9"/>
        <v>4247196.0755663039</v>
      </c>
      <c r="J13" s="61">
        <f t="shared" si="9"/>
        <v>2813888.1739013772</v>
      </c>
      <c r="K13" s="61">
        <f t="shared" si="9"/>
        <v>1936537.2046774076</v>
      </c>
      <c r="L13" s="61">
        <f t="shared" si="9"/>
        <v>7060.6414171375782</v>
      </c>
      <c r="M13" s="61">
        <f t="shared" si="9"/>
        <v>148381.45028064767</v>
      </c>
      <c r="N13" s="61">
        <f t="shared" si="9"/>
        <v>0</v>
      </c>
      <c r="O13" s="61">
        <f t="shared" si="9"/>
        <v>856367.70875082852</v>
      </c>
      <c r="P13" s="61">
        <f t="shared" si="9"/>
        <v>0</v>
      </c>
      <c r="Q13" s="61">
        <f t="shared" si="9"/>
        <v>107813.53799307221</v>
      </c>
      <c r="R13" s="61">
        <f t="shared" si="9"/>
        <v>9294.2462427326755</v>
      </c>
      <c r="T13" s="11">
        <f>F13-SUM(G13:R13)</f>
        <v>0</v>
      </c>
    </row>
    <row r="14" spans="1:20" x14ac:dyDescent="0.25">
      <c r="A14" s="21"/>
      <c r="B14" s="5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465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466</v>
      </c>
      <c r="B16" s="16" t="s">
        <v>467</v>
      </c>
      <c r="C16" t="str">
        <f>INDEX('Alloc Amt'!B:B,MATCH(Labor!D:D,'Alloc Amt'!D:D,0))</f>
        <v>Total Transmission Plant</v>
      </c>
      <c r="D16">
        <v>82</v>
      </c>
      <c r="F16" s="49">
        <v>9524371.1429421082</v>
      </c>
      <c r="G16" s="39">
        <f t="shared" ref="G16:R16" si="10">INDEX(Alloc,($D16),(G$1))*$F16</f>
        <v>4535786.4698706316</v>
      </c>
      <c r="H16" s="39">
        <f t="shared" si="10"/>
        <v>1167713.9084000923</v>
      </c>
      <c r="I16" s="39">
        <f t="shared" si="10"/>
        <v>1300505.7293722974</v>
      </c>
      <c r="J16" s="39">
        <f t="shared" si="10"/>
        <v>849673.55871421797</v>
      </c>
      <c r="K16" s="39">
        <f t="shared" si="10"/>
        <v>589133.10657345643</v>
      </c>
      <c r="L16" s="39">
        <f t="shared" si="10"/>
        <v>1918.4533296688546</v>
      </c>
      <c r="M16" s="39">
        <f t="shared" si="10"/>
        <v>47470.164287660846</v>
      </c>
      <c r="N16" s="39">
        <f t="shared" si="10"/>
        <v>109577.51279861614</v>
      </c>
      <c r="O16" s="39">
        <f t="shared" si="10"/>
        <v>258771.82119525169</v>
      </c>
      <c r="P16" s="39">
        <f t="shared" si="10"/>
        <v>629548.5536344907</v>
      </c>
      <c r="Q16" s="39">
        <f t="shared" si="10"/>
        <v>31321.227599871585</v>
      </c>
      <c r="R16" s="39">
        <f t="shared" si="10"/>
        <v>2950.6371658537491</v>
      </c>
      <c r="T16" s="11">
        <f t="shared" ref="T16:T17" si="11">F16-SUM(G16:R16)</f>
        <v>0</v>
      </c>
    </row>
    <row r="17" spans="1:20" s="59" customFormat="1" x14ac:dyDescent="0.25">
      <c r="A17" s="57"/>
      <c r="B17" s="59" t="s">
        <v>188</v>
      </c>
      <c r="F17" s="61">
        <f>SUM(F16)</f>
        <v>9524371.1429421082</v>
      </c>
      <c r="G17" s="61">
        <f t="shared" ref="G17:R17" si="12">SUM(G16)</f>
        <v>4535786.4698706316</v>
      </c>
      <c r="H17" s="61">
        <f t="shared" si="12"/>
        <v>1167713.9084000923</v>
      </c>
      <c r="I17" s="61">
        <f t="shared" si="12"/>
        <v>1300505.7293722974</v>
      </c>
      <c r="J17" s="61">
        <f t="shared" si="12"/>
        <v>849673.55871421797</v>
      </c>
      <c r="K17" s="61">
        <f t="shared" si="12"/>
        <v>589133.10657345643</v>
      </c>
      <c r="L17" s="61">
        <f t="shared" si="12"/>
        <v>1918.4533296688546</v>
      </c>
      <c r="M17" s="61">
        <f t="shared" si="12"/>
        <v>47470.164287660846</v>
      </c>
      <c r="N17" s="61">
        <f t="shared" si="12"/>
        <v>109577.51279861614</v>
      </c>
      <c r="O17" s="61">
        <f t="shared" si="12"/>
        <v>258771.82119525169</v>
      </c>
      <c r="P17" s="61">
        <f t="shared" si="12"/>
        <v>629548.5536344907</v>
      </c>
      <c r="Q17" s="61">
        <f t="shared" si="12"/>
        <v>31321.227599871585</v>
      </c>
      <c r="R17" s="61">
        <f t="shared" si="12"/>
        <v>2950.6371658537491</v>
      </c>
      <c r="T17" s="11">
        <f t="shared" si="11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468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469</v>
      </c>
      <c r="B20" s="16" t="s">
        <v>470</v>
      </c>
      <c r="C20" t="str">
        <f>INDEX('Alloc Amt'!B:B,MATCH(Labor!D:D,'Alloc Amt'!D:D,0))</f>
        <v>Total Distribution Plant</v>
      </c>
      <c r="D20">
        <v>68</v>
      </c>
      <c r="F20" s="49">
        <v>28292537.446778752</v>
      </c>
      <c r="G20" s="39">
        <f t="shared" ref="G20:R20" si="13">INDEX(Alloc,($D20),(G$1))*$F20</f>
        <v>18812060.296566386</v>
      </c>
      <c r="H20" s="39">
        <f t="shared" si="13"/>
        <v>3353725.1003998294</v>
      </c>
      <c r="I20" s="39">
        <f t="shared" si="13"/>
        <v>2662657.1974587156</v>
      </c>
      <c r="J20" s="39">
        <f t="shared" si="13"/>
        <v>1133842.1724696301</v>
      </c>
      <c r="K20" s="39">
        <f t="shared" si="13"/>
        <v>999133.9935697671</v>
      </c>
      <c r="L20" s="39">
        <f t="shared" si="13"/>
        <v>11393.617657440931</v>
      </c>
      <c r="M20" s="39">
        <f t="shared" si="13"/>
        <v>247160.31049893712</v>
      </c>
      <c r="N20" s="39">
        <f t="shared" si="13"/>
        <v>340182.12384995742</v>
      </c>
      <c r="O20" s="39">
        <f t="shared" si="13"/>
        <v>129644.50237925042</v>
      </c>
      <c r="P20" s="39">
        <f t="shared" si="13"/>
        <v>44792.738387103869</v>
      </c>
      <c r="Q20" s="39">
        <f t="shared" si="13"/>
        <v>549263.68244694755</v>
      </c>
      <c r="R20" s="39">
        <f t="shared" si="13"/>
        <v>8681.7110947825895</v>
      </c>
      <c r="T20" s="11">
        <f t="shared" ref="T20:T21" si="14">F20-SUM(G20:R20)</f>
        <v>0</v>
      </c>
    </row>
    <row r="21" spans="1:20" s="59" customFormat="1" x14ac:dyDescent="0.25">
      <c r="A21" s="57"/>
      <c r="B21" s="59" t="s">
        <v>188</v>
      </c>
      <c r="F21" s="58">
        <f>SUM(F20)</f>
        <v>28292537.446778752</v>
      </c>
      <c r="G21" s="58">
        <f t="shared" ref="G21:R21" si="15">SUM(G20)</f>
        <v>18812060.296566386</v>
      </c>
      <c r="H21" s="58">
        <f t="shared" si="15"/>
        <v>3353725.1003998294</v>
      </c>
      <c r="I21" s="58">
        <f t="shared" si="15"/>
        <v>2662657.1974587156</v>
      </c>
      <c r="J21" s="58">
        <f t="shared" si="15"/>
        <v>1133842.1724696301</v>
      </c>
      <c r="K21" s="58">
        <f t="shared" si="15"/>
        <v>999133.9935697671</v>
      </c>
      <c r="L21" s="58">
        <f t="shared" si="15"/>
        <v>11393.617657440931</v>
      </c>
      <c r="M21" s="58">
        <f t="shared" si="15"/>
        <v>247160.31049893712</v>
      </c>
      <c r="N21" s="58">
        <f t="shared" si="15"/>
        <v>340182.12384995742</v>
      </c>
      <c r="O21" s="58">
        <f t="shared" si="15"/>
        <v>129644.50237925042</v>
      </c>
      <c r="P21" s="58">
        <f t="shared" si="15"/>
        <v>44792.738387103869</v>
      </c>
      <c r="Q21" s="58">
        <f t="shared" si="15"/>
        <v>549263.68244694755</v>
      </c>
      <c r="R21" s="58">
        <f t="shared" si="15"/>
        <v>8681.7110947825895</v>
      </c>
      <c r="T21" s="11">
        <f t="shared" si="14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472</v>
      </c>
      <c r="B24" s="16" t="s">
        <v>473</v>
      </c>
      <c r="C24" t="str">
        <f>INDEX('Alloc Amt'!B:B,MATCH(Labor!D:D,'Alloc Amt'!D:D,0))</f>
        <v>Cust Accts Exp - Total</v>
      </c>
      <c r="D24">
        <v>63</v>
      </c>
      <c r="F24" s="49">
        <v>11005573.481128439</v>
      </c>
      <c r="G24" s="39">
        <f t="shared" ref="G24:R24" si="16">INDEX(Alloc,($D24),(G$1))*$F24</f>
        <v>9572809.3555943463</v>
      </c>
      <c r="H24" s="39">
        <f t="shared" si="16"/>
        <v>1002769.3972109647</v>
      </c>
      <c r="I24" s="39">
        <f t="shared" si="16"/>
        <v>100891.00110746252</v>
      </c>
      <c r="J24" s="39">
        <f t="shared" si="16"/>
        <v>107054.81822825941</v>
      </c>
      <c r="K24" s="39">
        <f t="shared" si="16"/>
        <v>115711.15618826138</v>
      </c>
      <c r="L24" s="39">
        <f t="shared" si="16"/>
        <v>9.7679277053206981</v>
      </c>
      <c r="M24" s="39">
        <f t="shared" si="16"/>
        <v>3238.5780321294897</v>
      </c>
      <c r="N24" s="39">
        <f t="shared" si="16"/>
        <v>13140.966580869263</v>
      </c>
      <c r="O24" s="39">
        <f t="shared" si="16"/>
        <v>20961.424315093176</v>
      </c>
      <c r="P24" s="39">
        <f t="shared" si="16"/>
        <v>37427.87766192665</v>
      </c>
      <c r="Q24" s="39">
        <f t="shared" si="16"/>
        <v>31538.431796987199</v>
      </c>
      <c r="R24" s="39">
        <f t="shared" si="16"/>
        <v>20.706484432343885</v>
      </c>
      <c r="T24" s="11">
        <f t="shared" ref="T24:T25" si="17">F24-SUM(G24:R24)</f>
        <v>0</v>
      </c>
    </row>
    <row r="25" spans="1:20" s="59" customFormat="1" x14ac:dyDescent="0.25">
      <c r="A25" s="57"/>
      <c r="B25" s="59" t="s">
        <v>188</v>
      </c>
      <c r="F25" s="58">
        <f>SUM(F24)</f>
        <v>11005573.481128439</v>
      </c>
      <c r="G25" s="58">
        <f t="shared" ref="G25:R25" si="18">SUM(G24)</f>
        <v>9572809.3555943463</v>
      </c>
      <c r="H25" s="58">
        <f t="shared" si="18"/>
        <v>1002769.3972109647</v>
      </c>
      <c r="I25" s="58">
        <f t="shared" si="18"/>
        <v>100891.00110746252</v>
      </c>
      <c r="J25" s="58">
        <f t="shared" si="18"/>
        <v>107054.81822825941</v>
      </c>
      <c r="K25" s="58">
        <f t="shared" si="18"/>
        <v>115711.15618826138</v>
      </c>
      <c r="L25" s="58">
        <f t="shared" si="18"/>
        <v>9.7679277053206981</v>
      </c>
      <c r="M25" s="58">
        <f t="shared" si="18"/>
        <v>3238.5780321294897</v>
      </c>
      <c r="N25" s="58">
        <f t="shared" si="18"/>
        <v>13140.966580869263</v>
      </c>
      <c r="O25" s="58">
        <f t="shared" si="18"/>
        <v>20961.424315093176</v>
      </c>
      <c r="P25" s="58">
        <f t="shared" si="18"/>
        <v>37427.87766192665</v>
      </c>
      <c r="Q25" s="58">
        <f t="shared" si="18"/>
        <v>31538.431796987199</v>
      </c>
      <c r="R25" s="58">
        <f t="shared" si="18"/>
        <v>20.706484432343885</v>
      </c>
      <c r="T25" s="11">
        <f t="shared" si="17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474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475</v>
      </c>
      <c r="B28" s="16" t="s">
        <v>476</v>
      </c>
      <c r="C28" t="str">
        <f>INDEX('Alloc Amt'!B:B,MATCH(Labor!D:D,'Alloc Amt'!D:D,0))</f>
        <v>Ave. No. Cust.</v>
      </c>
      <c r="D28">
        <v>1</v>
      </c>
      <c r="F28" s="49">
        <v>1376273.7558263356</v>
      </c>
      <c r="G28" s="39">
        <f t="shared" ref="G28:R28" si="19">INDEX(Alloc,($D28),(G$1))*$F28</f>
        <v>1209631.7695763246</v>
      </c>
      <c r="H28" s="39">
        <f t="shared" si="19"/>
        <v>145550.04880101755</v>
      </c>
      <c r="I28" s="39">
        <f t="shared" si="19"/>
        <v>9772.1228836946921</v>
      </c>
      <c r="J28" s="39">
        <f t="shared" si="19"/>
        <v>1007.8549078969783</v>
      </c>
      <c r="K28" s="39">
        <f t="shared" si="19"/>
        <v>582.92795741784857</v>
      </c>
      <c r="L28" s="39">
        <f t="shared" si="19"/>
        <v>2.3939546505866467</v>
      </c>
      <c r="M28" s="39">
        <f t="shared" si="19"/>
        <v>185.53148542046515</v>
      </c>
      <c r="N28" s="39">
        <f t="shared" si="19"/>
        <v>111.31889125227907</v>
      </c>
      <c r="O28" s="39">
        <f t="shared" si="19"/>
        <v>29.924433132333085</v>
      </c>
      <c r="P28" s="39">
        <f t="shared" si="19"/>
        <v>19.151637204693174</v>
      </c>
      <c r="Q28" s="39">
        <f t="shared" si="19"/>
        <v>9371.1354797214281</v>
      </c>
      <c r="R28" s="39">
        <f t="shared" si="19"/>
        <v>9.5758186023465868</v>
      </c>
      <c r="T28" s="11">
        <f t="shared" ref="T28:T29" si="20">F28-SUM(G28:R28)</f>
        <v>0</v>
      </c>
    </row>
    <row r="29" spans="1:20" s="59" customFormat="1" x14ac:dyDescent="0.25">
      <c r="A29" s="57"/>
      <c r="B29" s="59" t="s">
        <v>188</v>
      </c>
      <c r="F29" s="58">
        <f>SUM(F28)</f>
        <v>1376273.7558263356</v>
      </c>
      <c r="G29" s="58">
        <f t="shared" ref="G29:R29" si="21">SUM(G28)</f>
        <v>1209631.7695763246</v>
      </c>
      <c r="H29" s="58">
        <f t="shared" si="21"/>
        <v>145550.04880101755</v>
      </c>
      <c r="I29" s="58">
        <f t="shared" si="21"/>
        <v>9772.1228836946921</v>
      </c>
      <c r="J29" s="58">
        <f t="shared" si="21"/>
        <v>1007.8549078969783</v>
      </c>
      <c r="K29" s="58">
        <f t="shared" si="21"/>
        <v>582.92795741784857</v>
      </c>
      <c r="L29" s="58">
        <f t="shared" si="21"/>
        <v>2.3939546505866467</v>
      </c>
      <c r="M29" s="58">
        <f t="shared" si="21"/>
        <v>185.53148542046515</v>
      </c>
      <c r="N29" s="58">
        <f t="shared" si="21"/>
        <v>111.31889125227907</v>
      </c>
      <c r="O29" s="58">
        <f t="shared" si="21"/>
        <v>29.924433132333085</v>
      </c>
      <c r="P29" s="58">
        <f t="shared" si="21"/>
        <v>19.151637204693174</v>
      </c>
      <c r="Q29" s="58">
        <f t="shared" si="21"/>
        <v>9371.1354797214281</v>
      </c>
      <c r="R29" s="58">
        <f t="shared" si="21"/>
        <v>9.5758186023465868</v>
      </c>
      <c r="T29" s="11">
        <f t="shared" si="20"/>
        <v>0</v>
      </c>
    </row>
    <row r="30" spans="1:20" x14ac:dyDescent="0.25">
      <c r="A30" s="21"/>
      <c r="B30" s="16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20" x14ac:dyDescent="0.25">
      <c r="A31" s="57"/>
      <c r="B31" s="20" t="s">
        <v>477</v>
      </c>
      <c r="F31" s="58">
        <f>SUM(F13,F17,F21,F25,F29)</f>
        <v>78587981.281698585</v>
      </c>
      <c r="G31" s="58">
        <f t="shared" ref="G31:R31" si="22">SUM(G13,G17,G21,G25,G29)</f>
        <v>48585304.30297447</v>
      </c>
      <c r="H31" s="58">
        <f t="shared" si="22"/>
        <v>9477428.4596385565</v>
      </c>
      <c r="I31" s="58">
        <f t="shared" si="22"/>
        <v>8321022.1263884744</v>
      </c>
      <c r="J31" s="58">
        <f t="shared" si="22"/>
        <v>4905466.5782213826</v>
      </c>
      <c r="K31" s="58">
        <f t="shared" si="22"/>
        <v>3641098.3889663103</v>
      </c>
      <c r="L31" s="58">
        <f t="shared" si="22"/>
        <v>20384.874286603274</v>
      </c>
      <c r="M31" s="58">
        <f t="shared" si="22"/>
        <v>446436.03458479559</v>
      </c>
      <c r="N31" s="58">
        <f t="shared" si="22"/>
        <v>463011.92212069512</v>
      </c>
      <c r="O31" s="58">
        <f t="shared" si="22"/>
        <v>1265775.3810735561</v>
      </c>
      <c r="P31" s="58">
        <f t="shared" si="22"/>
        <v>711788.32132072595</v>
      </c>
      <c r="Q31" s="58">
        <f t="shared" si="22"/>
        <v>729308.01531659998</v>
      </c>
      <c r="R31" s="58">
        <f t="shared" si="22"/>
        <v>20956.876806403703</v>
      </c>
      <c r="T31" s="11">
        <f>F31-SUM(G31:R31)</f>
        <v>0</v>
      </c>
    </row>
    <row r="32" spans="1:20" x14ac:dyDescent="0.25">
      <c r="A32" s="57"/>
      <c r="B32" s="20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478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479</v>
      </c>
      <c r="B35" s="16" t="s">
        <v>480</v>
      </c>
      <c r="C35" t="str">
        <f>INDEX('Alloc Amt'!B:B,MATCH(Labor!D:D,'Alloc Amt'!D:D,0))</f>
        <v>Prod Trans Dist Allocation Factor</v>
      </c>
      <c r="D35">
        <v>75</v>
      </c>
      <c r="F35" s="49">
        <v>29215057.33172036</v>
      </c>
      <c r="G35" s="39">
        <f t="shared" ref="G35:R35" si="23">INDEX(Alloc,($D35),(G$1))*$F35</f>
        <v>16620695.280926382</v>
      </c>
      <c r="H35" s="39">
        <f t="shared" si="23"/>
        <v>3673199.5210855776</v>
      </c>
      <c r="I35" s="39">
        <f t="shared" si="23"/>
        <v>3630770.269021471</v>
      </c>
      <c r="J35" s="39">
        <f t="shared" si="23"/>
        <v>2127450.6321811313</v>
      </c>
      <c r="K35" s="39">
        <f t="shared" si="23"/>
        <v>1560775.6287806788</v>
      </c>
      <c r="L35" s="39">
        <f t="shared" si="23"/>
        <v>8921.6611125010131</v>
      </c>
      <c r="M35" s="39">
        <f t="shared" si="23"/>
        <v>194401.1406037441</v>
      </c>
      <c r="N35" s="39">
        <f t="shared" si="23"/>
        <v>201646.70896688575</v>
      </c>
      <c r="O35" s="39">
        <f t="shared" si="23"/>
        <v>554558.60328856716</v>
      </c>
      <c r="P35" s="39">
        <f t="shared" si="23"/>
        <v>334160.05560254515</v>
      </c>
      <c r="Q35" s="39">
        <f t="shared" si="23"/>
        <v>299247.74094789242</v>
      </c>
      <c r="R35" s="39">
        <f t="shared" si="23"/>
        <v>9230.089202981324</v>
      </c>
      <c r="T35" s="11">
        <f t="shared" ref="T35:T37" si="24">F35-SUM(G35:R35)</f>
        <v>0</v>
      </c>
    </row>
    <row r="36" spans="1:20" x14ac:dyDescent="0.25">
      <c r="A36" s="21" t="s">
        <v>481</v>
      </c>
      <c r="B36" s="16" t="s">
        <v>482</v>
      </c>
      <c r="D36" t="s">
        <v>460</v>
      </c>
      <c r="F36" s="49">
        <v>501708.48065521597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/>
      <c r="M36" s="49"/>
      <c r="N36" s="49">
        <v>0</v>
      </c>
      <c r="O36" s="49">
        <v>0</v>
      </c>
      <c r="P36" s="49">
        <v>0</v>
      </c>
      <c r="Q36" s="49">
        <v>501708.48065521597</v>
      </c>
      <c r="R36" s="49">
        <v>0</v>
      </c>
      <c r="T36" s="11">
        <f t="shared" si="24"/>
        <v>0</v>
      </c>
    </row>
    <row r="37" spans="1:20" s="59" customFormat="1" x14ac:dyDescent="0.25">
      <c r="A37" s="20"/>
      <c r="B37" s="20" t="s">
        <v>188</v>
      </c>
      <c r="F37" s="58">
        <f>SUM(F35:F36)</f>
        <v>29716765.812375575</v>
      </c>
      <c r="G37" s="58">
        <f t="shared" ref="G37:R37" si="25">SUM(G35:G36)</f>
        <v>16620695.280926382</v>
      </c>
      <c r="H37" s="58">
        <f t="shared" si="25"/>
        <v>3673199.5210855776</v>
      </c>
      <c r="I37" s="58">
        <f t="shared" si="25"/>
        <v>3630770.269021471</v>
      </c>
      <c r="J37" s="58">
        <f t="shared" si="25"/>
        <v>2127450.6321811313</v>
      </c>
      <c r="K37" s="58">
        <f t="shared" si="25"/>
        <v>1560775.6287806788</v>
      </c>
      <c r="L37" s="58">
        <f t="shared" si="25"/>
        <v>8921.6611125010131</v>
      </c>
      <c r="M37" s="58">
        <f t="shared" si="25"/>
        <v>194401.1406037441</v>
      </c>
      <c r="N37" s="58">
        <f t="shared" si="25"/>
        <v>201646.70896688575</v>
      </c>
      <c r="O37" s="58">
        <f t="shared" si="25"/>
        <v>554558.60328856716</v>
      </c>
      <c r="P37" s="58">
        <f t="shared" si="25"/>
        <v>334160.05560254515</v>
      </c>
      <c r="Q37" s="58">
        <f t="shared" si="25"/>
        <v>800956.22160310834</v>
      </c>
      <c r="R37" s="58">
        <f t="shared" si="25"/>
        <v>9230.089202981324</v>
      </c>
      <c r="T37" s="11">
        <f t="shared" si="24"/>
        <v>0</v>
      </c>
    </row>
    <row r="38" spans="1:20" x14ac:dyDescent="0.25">
      <c r="A38" s="16"/>
      <c r="B38" s="1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20" x14ac:dyDescent="0.25">
      <c r="A39" s="20"/>
      <c r="B39" s="20" t="s">
        <v>483</v>
      </c>
      <c r="F39" s="58">
        <f>F37</f>
        <v>29716765.812375575</v>
      </c>
      <c r="G39" s="58">
        <f t="shared" ref="G39:R39" si="26">G37</f>
        <v>16620695.280926382</v>
      </c>
      <c r="H39" s="58">
        <f t="shared" si="26"/>
        <v>3673199.5210855776</v>
      </c>
      <c r="I39" s="58">
        <f t="shared" si="26"/>
        <v>3630770.269021471</v>
      </c>
      <c r="J39" s="58">
        <f t="shared" si="26"/>
        <v>2127450.6321811313</v>
      </c>
      <c r="K39" s="58">
        <f t="shared" si="26"/>
        <v>1560775.6287806788</v>
      </c>
      <c r="L39" s="58">
        <f t="shared" si="26"/>
        <v>8921.6611125010131</v>
      </c>
      <c r="M39" s="58">
        <f t="shared" si="26"/>
        <v>194401.1406037441</v>
      </c>
      <c r="N39" s="58">
        <f t="shared" si="26"/>
        <v>201646.70896688575</v>
      </c>
      <c r="O39" s="58">
        <f t="shared" si="26"/>
        <v>554558.60328856716</v>
      </c>
      <c r="P39" s="58">
        <f t="shared" si="26"/>
        <v>334160.05560254515</v>
      </c>
      <c r="Q39" s="58">
        <f t="shared" si="26"/>
        <v>800956.22160310834</v>
      </c>
      <c r="R39" s="58">
        <f t="shared" si="26"/>
        <v>9230.089202981324</v>
      </c>
      <c r="T39" s="11">
        <f>F39-SUM(G39:R39)</f>
        <v>0</v>
      </c>
    </row>
    <row r="40" spans="1:20" x14ac:dyDescent="0.25">
      <c r="A40" s="16"/>
      <c r="B40" s="16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20" x14ac:dyDescent="0.25">
      <c r="A41" s="20"/>
      <c r="B41" s="20" t="s">
        <v>484</v>
      </c>
      <c r="F41" s="58">
        <f>F31+F39</f>
        <v>108304747.09407416</v>
      </c>
      <c r="G41" s="58">
        <f t="shared" ref="G41:R41" si="27">G31+G39</f>
        <v>65205999.583900854</v>
      </c>
      <c r="H41" s="58">
        <f t="shared" si="27"/>
        <v>13150627.980724134</v>
      </c>
      <c r="I41" s="58">
        <f t="shared" si="27"/>
        <v>11951792.395409945</v>
      </c>
      <c r="J41" s="58">
        <f t="shared" si="27"/>
        <v>7032917.2104025139</v>
      </c>
      <c r="K41" s="58">
        <f t="shared" si="27"/>
        <v>5201874.0177469887</v>
      </c>
      <c r="L41" s="58">
        <f t="shared" si="27"/>
        <v>29306.535399104287</v>
      </c>
      <c r="M41" s="58">
        <f t="shared" si="27"/>
        <v>640837.17518853967</v>
      </c>
      <c r="N41" s="58">
        <f t="shared" si="27"/>
        <v>664658.63108758093</v>
      </c>
      <c r="O41" s="58">
        <f t="shared" si="27"/>
        <v>1820333.9843621233</v>
      </c>
      <c r="P41" s="58">
        <f t="shared" si="27"/>
        <v>1045948.3769232711</v>
      </c>
      <c r="Q41" s="58">
        <f t="shared" si="27"/>
        <v>1530264.2369197083</v>
      </c>
      <c r="R41" s="58">
        <f t="shared" si="27"/>
        <v>30186.966009385025</v>
      </c>
      <c r="T41" s="11">
        <f>F41-SUM(G41:R41)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D1" workbookViewId="0">
      <selection activeCell="M1" sqref="M1:R1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55.2851562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8" width="12.2851562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31" t="s">
        <v>582</v>
      </c>
      <c r="E7" s="19"/>
      <c r="F7" s="19"/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customFormat="1" x14ac:dyDescent="0.25">
      <c r="A8" s="47"/>
      <c r="B8" s="35" t="s">
        <v>180</v>
      </c>
      <c r="C8" s="34" t="s">
        <v>181</v>
      </c>
      <c r="D8" s="34" t="s">
        <v>319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78"/>
      <c r="B9" s="78"/>
      <c r="C9" s="78"/>
      <c r="D9" s="78"/>
    </row>
    <row r="10" spans="1:20" x14ac:dyDescent="0.25">
      <c r="A10" s="79"/>
      <c r="B10" s="20" t="s">
        <v>487</v>
      </c>
      <c r="C10" s="80"/>
      <c r="F10" s="79"/>
    </row>
    <row r="11" spans="1:20" x14ac:dyDescent="0.25">
      <c r="A11" s="81">
        <v>447</v>
      </c>
      <c r="B11" s="79" t="s">
        <v>488</v>
      </c>
      <c r="C11" s="80" t="str">
        <f>INDEX('Alloc Amt'!B:B,MATCH(Revenue!D:D,'Alloc Amt'!D:D,0))</f>
        <v>Proforma Retail Revenue - No Transportation &amp; Special Contract</v>
      </c>
      <c r="D11" s="19">
        <v>23</v>
      </c>
      <c r="F11" s="82">
        <v>1981067118.0012321</v>
      </c>
      <c r="G11" s="65">
        <f t="shared" ref="G11:R14" si="1">INDEX(Alloc,($D11),(G$1))*$F11</f>
        <v>1105896513.2900393</v>
      </c>
      <c r="H11" s="65">
        <f t="shared" si="1"/>
        <v>263390391.2140398</v>
      </c>
      <c r="I11" s="65">
        <f t="shared" si="1"/>
        <v>270703257.2199825</v>
      </c>
      <c r="J11" s="65">
        <f t="shared" si="1"/>
        <v>160280839.13024956</v>
      </c>
      <c r="K11" s="65">
        <f t="shared" si="1"/>
        <v>113255219.09203497</v>
      </c>
      <c r="L11" s="65">
        <f t="shared" si="1"/>
        <v>268014.00021779712</v>
      </c>
      <c r="M11" s="65">
        <f t="shared" si="1"/>
        <v>10687146.00868473</v>
      </c>
      <c r="N11" s="65">
        <f t="shared" si="1"/>
        <v>0</v>
      </c>
      <c r="O11" s="65">
        <f t="shared" si="1"/>
        <v>40128244.032609545</v>
      </c>
      <c r="P11" s="65">
        <f t="shared" si="1"/>
        <v>0</v>
      </c>
      <c r="Q11" s="65">
        <f t="shared" si="1"/>
        <v>16457494.013373908</v>
      </c>
      <c r="R11" s="65">
        <f t="shared" si="1"/>
        <v>0</v>
      </c>
      <c r="T11" s="87">
        <f>SUM(G11:R11)-F11</f>
        <v>0</v>
      </c>
    </row>
    <row r="12" spans="1:20" x14ac:dyDescent="0.25">
      <c r="A12" s="81">
        <v>447.01</v>
      </c>
      <c r="B12" s="79" t="s">
        <v>489</v>
      </c>
      <c r="C12" s="80" t="str">
        <f>INDEX('Alloc Amt'!B:B,MATCH(Revenue!D:D,'Alloc Amt'!D:D,0))</f>
        <v>Schedule 449 / 459 Retail Revenue</v>
      </c>
      <c r="D12" s="19">
        <v>6</v>
      </c>
      <c r="F12" s="82">
        <v>10117371.780000001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  <c r="M12" s="65">
        <f t="shared" si="1"/>
        <v>0</v>
      </c>
      <c r="N12" s="65">
        <f t="shared" si="1"/>
        <v>0</v>
      </c>
      <c r="O12" s="65">
        <f t="shared" si="1"/>
        <v>0</v>
      </c>
      <c r="P12" s="65">
        <f t="shared" si="1"/>
        <v>10117371.780000001</v>
      </c>
      <c r="Q12" s="65">
        <f t="shared" si="1"/>
        <v>0</v>
      </c>
      <c r="R12" s="65">
        <f t="shared" si="1"/>
        <v>0</v>
      </c>
      <c r="T12" s="87">
        <f t="shared" ref="T12:T58" si="2">SUM(G12:R12)-F12</f>
        <v>0</v>
      </c>
    </row>
    <row r="13" spans="1:20" x14ac:dyDescent="0.25">
      <c r="A13" s="81">
        <v>447.02</v>
      </c>
      <c r="B13" s="79" t="s">
        <v>490</v>
      </c>
      <c r="C13" s="80" t="str">
        <f>INDEX('Alloc Amt'!B:B,MATCH(Revenue!D:D,'Alloc Amt'!D:D,0))</f>
        <v>Direct Assignment Special Contract</v>
      </c>
      <c r="D13" s="19">
        <v>5</v>
      </c>
      <c r="F13" s="82">
        <v>5493553</v>
      </c>
      <c r="G13" s="65">
        <f t="shared" si="1"/>
        <v>0</v>
      </c>
      <c r="H13" s="65">
        <f t="shared" si="1"/>
        <v>0</v>
      </c>
      <c r="I13" s="65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5493553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T13" s="87">
        <f t="shared" si="2"/>
        <v>0</v>
      </c>
    </row>
    <row r="14" spans="1:20" x14ac:dyDescent="0.25">
      <c r="A14" s="81">
        <v>447.03</v>
      </c>
      <c r="B14" s="79" t="s">
        <v>491</v>
      </c>
      <c r="C14" s="80" t="str">
        <f>INDEX('Alloc Amt'!B:B,MATCH(Revenue!D:D,'Alloc Amt'!D:D,0))</f>
        <v>Small Firm Resale Allocation Only</v>
      </c>
      <c r="D14" s="19">
        <v>8</v>
      </c>
      <c r="F14" s="82">
        <v>324341.16000000003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65">
        <f t="shared" si="1"/>
        <v>0</v>
      </c>
      <c r="Q14" s="65">
        <f t="shared" si="1"/>
        <v>0</v>
      </c>
      <c r="R14" s="65">
        <f t="shared" si="1"/>
        <v>324341.16000000003</v>
      </c>
      <c r="T14" s="87">
        <f t="shared" si="2"/>
        <v>0</v>
      </c>
    </row>
    <row r="15" spans="1:20" x14ac:dyDescent="0.25">
      <c r="A15" s="83"/>
      <c r="B15" s="24" t="s">
        <v>486</v>
      </c>
      <c r="C15" s="26"/>
      <c r="D15" s="54"/>
      <c r="E15" s="54"/>
      <c r="F15" s="84">
        <f>SUM(F11:F14)</f>
        <v>1997002383.9412322</v>
      </c>
      <c r="G15" s="84">
        <f t="shared" ref="G15:R15" si="3">SUM(G11:G14)</f>
        <v>1105896513.2900393</v>
      </c>
      <c r="H15" s="84">
        <f t="shared" si="3"/>
        <v>263390391.2140398</v>
      </c>
      <c r="I15" s="84">
        <f t="shared" si="3"/>
        <v>270703257.2199825</v>
      </c>
      <c r="J15" s="84">
        <f t="shared" si="3"/>
        <v>160280839.13024956</v>
      </c>
      <c r="K15" s="84">
        <f t="shared" si="3"/>
        <v>113255219.09203497</v>
      </c>
      <c r="L15" s="84">
        <f t="shared" si="3"/>
        <v>268014.00021779712</v>
      </c>
      <c r="M15" s="84">
        <f t="shared" si="3"/>
        <v>10687146.00868473</v>
      </c>
      <c r="N15" s="84">
        <f t="shared" si="3"/>
        <v>5493553</v>
      </c>
      <c r="O15" s="84">
        <f t="shared" si="3"/>
        <v>40128244.032609545</v>
      </c>
      <c r="P15" s="84">
        <f t="shared" si="3"/>
        <v>10117371.780000001</v>
      </c>
      <c r="Q15" s="84">
        <f t="shared" si="3"/>
        <v>16457494.013373908</v>
      </c>
      <c r="R15" s="84">
        <f t="shared" si="3"/>
        <v>324341.16000000003</v>
      </c>
      <c r="T15" s="87">
        <f t="shared" si="2"/>
        <v>0</v>
      </c>
    </row>
    <row r="16" spans="1:20" x14ac:dyDescent="0.25">
      <c r="A16" s="81"/>
      <c r="B16" s="79"/>
      <c r="C16" s="80"/>
      <c r="F16" s="82"/>
      <c r="T16" s="87">
        <f t="shared" si="2"/>
        <v>0</v>
      </c>
    </row>
    <row r="17" spans="1:20" x14ac:dyDescent="0.25">
      <c r="A17" s="81"/>
      <c r="B17" s="20" t="s">
        <v>492</v>
      </c>
      <c r="C17" s="80"/>
      <c r="F17" s="82"/>
      <c r="T17" s="87">
        <f t="shared" si="2"/>
        <v>0</v>
      </c>
    </row>
    <row r="18" spans="1:20" x14ac:dyDescent="0.25">
      <c r="A18" s="81">
        <v>447.07</v>
      </c>
      <c r="B18" s="79" t="s">
        <v>493</v>
      </c>
      <c r="C18" s="80" t="str">
        <f>INDEX('Alloc Amt'!B:B,MATCH(Revenue!D:D,'Alloc Amt'!D:D,0))</f>
        <v>Total Production Plant</v>
      </c>
      <c r="D18" s="19">
        <v>73</v>
      </c>
      <c r="F18" s="82">
        <v>5469488.0226491988</v>
      </c>
      <c r="G18" s="65">
        <f t="shared" ref="G18:R18" si="4">INDEX(Alloc,($D18),(G$1))*$F18</f>
        <v>2784913.5671004988</v>
      </c>
      <c r="H18" s="65">
        <f t="shared" si="4"/>
        <v>733588.36501526379</v>
      </c>
      <c r="I18" s="65">
        <f t="shared" si="4"/>
        <v>818267.7650700917</v>
      </c>
      <c r="J18" s="65">
        <f t="shared" si="4"/>
        <v>542125.66273113096</v>
      </c>
      <c r="K18" s="65">
        <f t="shared" si="4"/>
        <v>373094.61165745213</v>
      </c>
      <c r="L18" s="65">
        <f t="shared" si="4"/>
        <v>1360.3081114149275</v>
      </c>
      <c r="M18" s="65">
        <f t="shared" si="4"/>
        <v>28587.273942330386</v>
      </c>
      <c r="N18" s="65">
        <f t="shared" si="4"/>
        <v>0</v>
      </c>
      <c r="O18" s="65">
        <f t="shared" si="4"/>
        <v>164988.40144183877</v>
      </c>
      <c r="P18" s="65">
        <f t="shared" si="4"/>
        <v>0</v>
      </c>
      <c r="Q18" s="65">
        <f t="shared" si="4"/>
        <v>20771.431600583135</v>
      </c>
      <c r="R18" s="65">
        <f t="shared" si="4"/>
        <v>1790.6359785939287</v>
      </c>
      <c r="T18" s="87">
        <f t="shared" si="2"/>
        <v>0</v>
      </c>
    </row>
    <row r="19" spans="1:20" x14ac:dyDescent="0.25">
      <c r="A19" s="81">
        <v>449.01</v>
      </c>
      <c r="B19" s="79" t="s">
        <v>494</v>
      </c>
      <c r="C19" s="80" t="str">
        <f>INDEX('Alloc Amt'!B:B,MATCH(Revenue!D:D,'Alloc Amt'!D:D,0))</f>
        <v>Total Ratebase</v>
      </c>
      <c r="D19" s="19">
        <v>76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T19" s="87">
        <f t="shared" si="2"/>
        <v>0</v>
      </c>
    </row>
    <row r="20" spans="1:20" x14ac:dyDescent="0.25">
      <c r="A20" s="83"/>
      <c r="B20" s="24" t="s">
        <v>495</v>
      </c>
      <c r="C20" s="26"/>
      <c r="D20" s="54"/>
      <c r="E20" s="54"/>
      <c r="F20" s="84">
        <f>SUM(F18:F19)</f>
        <v>5469488.0226491988</v>
      </c>
      <c r="G20" s="84">
        <f t="shared" ref="G20:R20" si="5">SUM(G18:G19)</f>
        <v>2784913.5671004988</v>
      </c>
      <c r="H20" s="84">
        <f t="shared" si="5"/>
        <v>733588.36501526379</v>
      </c>
      <c r="I20" s="84">
        <f t="shared" si="5"/>
        <v>818267.7650700917</v>
      </c>
      <c r="J20" s="84">
        <f t="shared" si="5"/>
        <v>542125.66273113096</v>
      </c>
      <c r="K20" s="84">
        <f t="shared" si="5"/>
        <v>373094.61165745213</v>
      </c>
      <c r="L20" s="84">
        <f t="shared" si="5"/>
        <v>1360.3081114149275</v>
      </c>
      <c r="M20" s="84">
        <f t="shared" si="5"/>
        <v>28587.273942330386</v>
      </c>
      <c r="N20" s="84">
        <f t="shared" si="5"/>
        <v>0</v>
      </c>
      <c r="O20" s="84">
        <f t="shared" si="5"/>
        <v>164988.40144183877</v>
      </c>
      <c r="P20" s="84">
        <f t="shared" si="5"/>
        <v>0</v>
      </c>
      <c r="Q20" s="84">
        <f t="shared" si="5"/>
        <v>20771.431600583135</v>
      </c>
      <c r="R20" s="84">
        <f t="shared" si="5"/>
        <v>1790.6359785939287</v>
      </c>
      <c r="T20" s="87">
        <f t="shared" si="2"/>
        <v>0</v>
      </c>
    </row>
    <row r="21" spans="1:20" x14ac:dyDescent="0.25">
      <c r="A21" s="81"/>
      <c r="B21" s="79"/>
      <c r="C21" s="80"/>
      <c r="F21" s="82"/>
      <c r="T21" s="87">
        <f t="shared" si="2"/>
        <v>0</v>
      </c>
    </row>
    <row r="22" spans="1:20" x14ac:dyDescent="0.25">
      <c r="A22" s="81"/>
      <c r="B22" s="20" t="s">
        <v>496</v>
      </c>
      <c r="C22" s="80"/>
      <c r="F22" s="82"/>
      <c r="T22" s="87">
        <f t="shared" si="2"/>
        <v>0</v>
      </c>
    </row>
    <row r="23" spans="1:20" x14ac:dyDescent="0.25">
      <c r="A23" s="81">
        <v>450.01</v>
      </c>
      <c r="B23" s="79" t="s">
        <v>497</v>
      </c>
      <c r="C23" s="80" t="str">
        <f>INDEX('Alloc Amt'!B:B,MATCH(Revenue!D:D,'Alloc Amt'!D:D,0))</f>
        <v>Late Payment Interest Rev</v>
      </c>
      <c r="D23" s="19">
        <v>13</v>
      </c>
      <c r="F23" s="82">
        <v>2151272.19</v>
      </c>
      <c r="G23" s="65">
        <f t="shared" ref="G23:R32" si="6">INDEX(Alloc,($D23),(G$1))*$F23</f>
        <v>1682000.0314221452</v>
      </c>
      <c r="H23" s="65">
        <f t="shared" si="6"/>
        <v>246772.06005798699</v>
      </c>
      <c r="I23" s="65">
        <f t="shared" si="6"/>
        <v>90978.809853960847</v>
      </c>
      <c r="J23" s="65">
        <f t="shared" si="6"/>
        <v>23981.165497099108</v>
      </c>
      <c r="K23" s="65">
        <f t="shared" si="6"/>
        <v>20156.079805606169</v>
      </c>
      <c r="L23" s="65">
        <f t="shared" si="6"/>
        <v>0</v>
      </c>
      <c r="M23" s="65">
        <f t="shared" si="6"/>
        <v>143.12822117685513</v>
      </c>
      <c r="N23" s="65">
        <f t="shared" si="6"/>
        <v>0</v>
      </c>
      <c r="O23" s="65">
        <f t="shared" si="6"/>
        <v>2769.0559110449281</v>
      </c>
      <c r="P23" s="65">
        <f t="shared" si="6"/>
        <v>1992.4596373803079</v>
      </c>
      <c r="Q23" s="65">
        <f t="shared" si="6"/>
        <v>82443.94920878431</v>
      </c>
      <c r="R23" s="65">
        <f t="shared" si="6"/>
        <v>35.45038481510101</v>
      </c>
      <c r="T23" s="87">
        <f t="shared" si="2"/>
        <v>0</v>
      </c>
    </row>
    <row r="24" spans="1:20" x14ac:dyDescent="0.25">
      <c r="A24" s="81">
        <v>450.02</v>
      </c>
      <c r="B24" s="79" t="s">
        <v>498</v>
      </c>
      <c r="C24" s="80" t="str">
        <f>INDEX('Alloc Amt'!B:B,MATCH(Revenue!D:D,'Alloc Amt'!D:D,0))</f>
        <v>Direct Assign  Disconnect Call - A/C 450.02</v>
      </c>
      <c r="D24" s="19">
        <v>14</v>
      </c>
      <c r="F24" s="82">
        <v>300105</v>
      </c>
      <c r="G24" s="65">
        <f t="shared" si="6"/>
        <v>282133.59501320246</v>
      </c>
      <c r="H24" s="65">
        <f t="shared" si="6"/>
        <v>17480.221151217647</v>
      </c>
      <c r="I24" s="65">
        <f t="shared" si="6"/>
        <v>375.26239800345462</v>
      </c>
      <c r="J24" s="65">
        <f t="shared" si="6"/>
        <v>25.521719781163704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65">
        <f t="shared" si="6"/>
        <v>0</v>
      </c>
      <c r="Q24" s="65">
        <f t="shared" si="6"/>
        <v>90.399717795231368</v>
      </c>
      <c r="R24" s="65">
        <f t="shared" si="6"/>
        <v>0</v>
      </c>
      <c r="T24" s="87">
        <f t="shared" si="2"/>
        <v>0</v>
      </c>
    </row>
    <row r="25" spans="1:20" x14ac:dyDescent="0.25">
      <c r="A25" s="81">
        <v>451.01</v>
      </c>
      <c r="B25" s="79" t="s">
        <v>499</v>
      </c>
      <c r="C25" s="80" t="str">
        <f>INDEX('Alloc Amt'!B:B,MATCH(Revenue!D:D,'Alloc Amt'!D:D,0))</f>
        <v>Ave. No. Cust Incl. RES &amp; SEC Only, No Sch 40</v>
      </c>
      <c r="D25" s="19">
        <v>2</v>
      </c>
      <c r="F25" s="82">
        <v>1314247.8600000001</v>
      </c>
      <c r="G25" s="65">
        <f t="shared" si="6"/>
        <v>1163836.3305712002</v>
      </c>
      <c r="H25" s="65">
        <f t="shared" si="6"/>
        <v>140039.67072588278</v>
      </c>
      <c r="I25" s="65">
        <f t="shared" si="6"/>
        <v>9402.1601655134709</v>
      </c>
      <c r="J25" s="65">
        <f t="shared" si="6"/>
        <v>969.69853740352073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0</v>
      </c>
      <c r="P25" s="65">
        <f t="shared" si="6"/>
        <v>0</v>
      </c>
      <c r="Q25" s="65">
        <f t="shared" si="6"/>
        <v>0</v>
      </c>
      <c r="R25" s="65">
        <f t="shared" si="6"/>
        <v>0</v>
      </c>
      <c r="T25" s="87">
        <f t="shared" si="2"/>
        <v>0</v>
      </c>
    </row>
    <row r="26" spans="1:20" x14ac:dyDescent="0.25">
      <c r="A26" s="81">
        <v>451.02</v>
      </c>
      <c r="B26" s="79" t="s">
        <v>500</v>
      </c>
      <c r="C26" s="80" t="str">
        <f>INDEX('Alloc Amt'!B:B,MATCH(Revenue!D:D,'Alloc Amt'!D:D,0))</f>
        <v>Connect/Reconnect Revenue</v>
      </c>
      <c r="D26" s="19">
        <v>15</v>
      </c>
      <c r="F26" s="82">
        <v>1460925</v>
      </c>
      <c r="G26" s="65">
        <f t="shared" si="6"/>
        <v>1427015.4038714194</v>
      </c>
      <c r="H26" s="65">
        <f t="shared" si="6"/>
        <v>33196.437261315725</v>
      </c>
      <c r="I26" s="65">
        <f t="shared" si="6"/>
        <v>713.15886726491715</v>
      </c>
      <c r="J26" s="65">
        <f t="shared" si="6"/>
        <v>0</v>
      </c>
      <c r="K26" s="65">
        <f t="shared" si="6"/>
        <v>0</v>
      </c>
      <c r="L26" s="65">
        <f t="shared" si="6"/>
        <v>0</v>
      </c>
      <c r="M26" s="65">
        <f t="shared" si="6"/>
        <v>0</v>
      </c>
      <c r="N26" s="65">
        <f t="shared" si="6"/>
        <v>0</v>
      </c>
      <c r="O26" s="65">
        <f t="shared" si="6"/>
        <v>0</v>
      </c>
      <c r="P26" s="65">
        <f t="shared" si="6"/>
        <v>0</v>
      </c>
      <c r="Q26" s="65">
        <f t="shared" si="6"/>
        <v>0</v>
      </c>
      <c r="R26" s="65">
        <f t="shared" si="6"/>
        <v>0</v>
      </c>
      <c r="T26" s="87">
        <f t="shared" si="2"/>
        <v>0</v>
      </c>
    </row>
    <row r="27" spans="1:20" x14ac:dyDescent="0.25">
      <c r="A27" s="81">
        <v>451.03</v>
      </c>
      <c r="B27" s="79" t="s">
        <v>501</v>
      </c>
      <c r="C27" s="80" t="str">
        <f>INDEX('Alloc Amt'!B:B,MATCH(Revenue!D:D,'Alloc Amt'!D:D,0))</f>
        <v>Ave. No. Cust Incl. RES &amp; SEC Only, No Sch 40</v>
      </c>
      <c r="D27" s="19">
        <v>2</v>
      </c>
      <c r="F27" s="82">
        <v>1019248.82</v>
      </c>
      <c r="G27" s="65">
        <f t="shared" si="6"/>
        <v>902599.00184111821</v>
      </c>
      <c r="H27" s="65">
        <f t="shared" si="6"/>
        <v>108606.05026250113</v>
      </c>
      <c r="I27" s="65">
        <f t="shared" si="6"/>
        <v>7291.7300806185904</v>
      </c>
      <c r="J27" s="65">
        <f t="shared" si="6"/>
        <v>752.03781576198594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 t="shared" si="6"/>
        <v>0</v>
      </c>
      <c r="O27" s="65">
        <f t="shared" si="6"/>
        <v>0</v>
      </c>
      <c r="P27" s="65">
        <f t="shared" si="6"/>
        <v>0</v>
      </c>
      <c r="Q27" s="65">
        <f t="shared" si="6"/>
        <v>0</v>
      </c>
      <c r="R27" s="65">
        <f t="shared" si="6"/>
        <v>0</v>
      </c>
      <c r="T27" s="87">
        <f t="shared" si="2"/>
        <v>0</v>
      </c>
    </row>
    <row r="28" spans="1:20" x14ac:dyDescent="0.25">
      <c r="A28" s="81">
        <v>451.04</v>
      </c>
      <c r="B28" s="79" t="s">
        <v>502</v>
      </c>
      <c r="C28" s="80" t="str">
        <f>INDEX('Alloc Amt'!B:B,MATCH(Revenue!D:D,'Alloc Amt'!D:D,0))</f>
        <v>Ave. No. Cust Incl. RES &amp; SEC Only, No Sch 40</v>
      </c>
      <c r="D28" s="19">
        <v>2</v>
      </c>
      <c r="F28" s="82">
        <v>1400595.91</v>
      </c>
      <c r="G28" s="65">
        <f t="shared" si="6"/>
        <v>1240302.1181312259</v>
      </c>
      <c r="H28" s="65">
        <f t="shared" si="6"/>
        <v>149240.48653685319</v>
      </c>
      <c r="I28" s="65">
        <f t="shared" si="6"/>
        <v>10019.896150322124</v>
      </c>
      <c r="J28" s="65">
        <f t="shared" si="6"/>
        <v>1033.4091815986317</v>
      </c>
      <c r="K28" s="65">
        <f t="shared" si="6"/>
        <v>0</v>
      </c>
      <c r="L28" s="65">
        <f t="shared" si="6"/>
        <v>0</v>
      </c>
      <c r="M28" s="65">
        <f t="shared" si="6"/>
        <v>0</v>
      </c>
      <c r="N28" s="65">
        <f t="shared" si="6"/>
        <v>0</v>
      </c>
      <c r="O28" s="65">
        <f t="shared" si="6"/>
        <v>0</v>
      </c>
      <c r="P28" s="65">
        <f t="shared" si="6"/>
        <v>0</v>
      </c>
      <c r="Q28" s="65">
        <f t="shared" si="6"/>
        <v>0</v>
      </c>
      <c r="R28" s="65">
        <f t="shared" si="6"/>
        <v>0</v>
      </c>
      <c r="T28" s="87">
        <f t="shared" si="2"/>
        <v>0</v>
      </c>
    </row>
    <row r="29" spans="1:20" x14ac:dyDescent="0.25">
      <c r="A29" s="81">
        <v>451.05</v>
      </c>
      <c r="B29" s="79" t="s">
        <v>503</v>
      </c>
      <c r="C29" s="80" t="str">
        <f>INDEX('Alloc Amt'!B:B,MATCH(Revenue!D:D,'Alloc Amt'!D:D,0))</f>
        <v>Billing Initiation Charge</v>
      </c>
      <c r="D29" s="19">
        <v>16</v>
      </c>
      <c r="F29" s="82">
        <v>1397401.6500000001</v>
      </c>
      <c r="G29" s="65">
        <f t="shared" si="6"/>
        <v>1278832.2590385026</v>
      </c>
      <c r="H29" s="65">
        <f t="shared" si="6"/>
        <v>114731.54108620971</v>
      </c>
      <c r="I29" s="65">
        <f t="shared" si="6"/>
        <v>3468.8857686581096</v>
      </c>
      <c r="J29" s="65">
        <f t="shared" si="6"/>
        <v>250.97610780520577</v>
      </c>
      <c r="K29" s="65">
        <f t="shared" si="6"/>
        <v>116.58173849707869</v>
      </c>
      <c r="L29" s="65">
        <f t="shared" si="6"/>
        <v>0</v>
      </c>
      <c r="M29" s="65">
        <f t="shared" si="6"/>
        <v>0</v>
      </c>
      <c r="N29" s="65">
        <f t="shared" si="6"/>
        <v>0</v>
      </c>
      <c r="O29" s="65">
        <f t="shared" si="6"/>
        <v>1.4062603271880352</v>
      </c>
      <c r="P29" s="65">
        <f t="shared" si="6"/>
        <v>0</v>
      </c>
      <c r="Q29" s="65">
        <f t="shared" si="6"/>
        <v>0</v>
      </c>
      <c r="R29" s="65">
        <f t="shared" si="6"/>
        <v>0</v>
      </c>
      <c r="T29" s="87">
        <f t="shared" si="2"/>
        <v>0</v>
      </c>
    </row>
    <row r="30" spans="1:20" x14ac:dyDescent="0.25">
      <c r="A30" s="81">
        <v>451.06</v>
      </c>
      <c r="B30" s="79" t="s">
        <v>504</v>
      </c>
      <c r="C30" s="80" t="str">
        <f>INDEX('Alloc Amt'!B:B,MATCH(Revenue!D:D,'Alloc Amt'!D:D,0))</f>
        <v>NSF Check Charge Revenue</v>
      </c>
      <c r="D30" s="19">
        <v>17</v>
      </c>
      <c r="F30" s="82">
        <v>181120</v>
      </c>
      <c r="G30" s="65">
        <f t="shared" si="6"/>
        <v>118842.15861422563</v>
      </c>
      <c r="H30" s="65">
        <f t="shared" si="6"/>
        <v>45107.426253109639</v>
      </c>
      <c r="I30" s="65">
        <f t="shared" si="6"/>
        <v>16734.210831967026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  <c r="N30" s="65">
        <f t="shared" si="6"/>
        <v>0</v>
      </c>
      <c r="O30" s="65">
        <f t="shared" si="6"/>
        <v>0</v>
      </c>
      <c r="P30" s="65">
        <f t="shared" si="6"/>
        <v>0</v>
      </c>
      <c r="Q30" s="65">
        <f t="shared" si="6"/>
        <v>436.20430069769515</v>
      </c>
      <c r="R30" s="65">
        <f t="shared" si="6"/>
        <v>0</v>
      </c>
      <c r="T30" s="87">
        <f t="shared" si="2"/>
        <v>0</v>
      </c>
    </row>
    <row r="31" spans="1:20" x14ac:dyDescent="0.25">
      <c r="A31" s="81">
        <v>451.07</v>
      </c>
      <c r="B31" s="79" t="s">
        <v>505</v>
      </c>
      <c r="C31" s="80" t="str">
        <f>INDEX('Alloc Amt'!B:B,MATCH(Revenue!D:D,'Alloc Amt'!D:D,0))</f>
        <v>Customer Advances</v>
      </c>
      <c r="D31" s="19">
        <v>10</v>
      </c>
      <c r="F31" s="82">
        <v>4847787.22</v>
      </c>
      <c r="G31" s="65">
        <f t="shared" si="6"/>
        <v>2078045.791041679</v>
      </c>
      <c r="H31" s="65">
        <f t="shared" si="6"/>
        <v>2578749.6422657338</v>
      </c>
      <c r="I31" s="65">
        <f t="shared" si="6"/>
        <v>173135.3482742928</v>
      </c>
      <c r="J31" s="65">
        <f t="shared" si="6"/>
        <v>17856.438418294281</v>
      </c>
      <c r="K31" s="65">
        <f t="shared" si="6"/>
        <v>0</v>
      </c>
      <c r="L31" s="65">
        <f t="shared" si="6"/>
        <v>0</v>
      </c>
      <c r="M31" s="65">
        <f t="shared" si="6"/>
        <v>0</v>
      </c>
      <c r="N31" s="65">
        <f t="shared" si="6"/>
        <v>0</v>
      </c>
      <c r="O31" s="65">
        <f t="shared" si="6"/>
        <v>0</v>
      </c>
      <c r="P31" s="65">
        <f t="shared" si="6"/>
        <v>0</v>
      </c>
      <c r="Q31" s="65">
        <f t="shared" si="6"/>
        <v>0</v>
      </c>
      <c r="R31" s="65">
        <f t="shared" si="6"/>
        <v>0</v>
      </c>
      <c r="T31" s="87">
        <f t="shared" si="2"/>
        <v>0</v>
      </c>
    </row>
    <row r="32" spans="1:20" x14ac:dyDescent="0.25">
      <c r="A32" s="81">
        <v>451.08</v>
      </c>
      <c r="B32" s="79" t="s">
        <v>506</v>
      </c>
      <c r="C32" s="80" t="str">
        <f>INDEX('Alloc Amt'!B:B,MATCH(Revenue!D:D,'Alloc Amt'!D:D,0))</f>
        <v>Ave. No. Cust Incl. RES &amp; SEC Only, No Sch 40</v>
      </c>
      <c r="D32" s="19">
        <v>2</v>
      </c>
      <c r="F32" s="82">
        <v>616489.76</v>
      </c>
      <c r="G32" s="65">
        <f t="shared" si="6"/>
        <v>545934.44809803215</v>
      </c>
      <c r="H32" s="65">
        <f t="shared" si="6"/>
        <v>65690.061687662543</v>
      </c>
      <c r="I32" s="65">
        <f t="shared" si="6"/>
        <v>4410.382272883412</v>
      </c>
      <c r="J32" s="65">
        <f t="shared" si="6"/>
        <v>454.86794142183157</v>
      </c>
      <c r="K32" s="65">
        <f t="shared" si="6"/>
        <v>0</v>
      </c>
      <c r="L32" s="65">
        <f t="shared" si="6"/>
        <v>0</v>
      </c>
      <c r="M32" s="65">
        <f t="shared" si="6"/>
        <v>0</v>
      </c>
      <c r="N32" s="65">
        <f t="shared" si="6"/>
        <v>0</v>
      </c>
      <c r="O32" s="65">
        <f t="shared" si="6"/>
        <v>0</v>
      </c>
      <c r="P32" s="65">
        <f t="shared" si="6"/>
        <v>0</v>
      </c>
      <c r="Q32" s="65">
        <f t="shared" si="6"/>
        <v>0</v>
      </c>
      <c r="R32" s="65">
        <f t="shared" si="6"/>
        <v>0</v>
      </c>
      <c r="T32" s="87">
        <f t="shared" si="2"/>
        <v>0</v>
      </c>
    </row>
    <row r="33" spans="1:20" x14ac:dyDescent="0.25">
      <c r="A33" s="81">
        <v>454.01</v>
      </c>
      <c r="B33" s="79" t="s">
        <v>507</v>
      </c>
      <c r="C33" s="80" t="str">
        <f>INDEX('Alloc Amt'!B:B,MATCH(Revenue!D:D,'Alloc Amt'!D:D,0))</f>
        <v>Total Production Plant</v>
      </c>
      <c r="D33" s="19">
        <v>73</v>
      </c>
      <c r="F33" s="82">
        <v>63960.97</v>
      </c>
      <c r="G33" s="65">
        <f t="shared" ref="G33:R42" si="7">INDEX(Alloc,($D33),(G$1))*$F33</f>
        <v>32567.174912951188</v>
      </c>
      <c r="H33" s="65">
        <f t="shared" si="7"/>
        <v>8578.6865631280216</v>
      </c>
      <c r="I33" s="65">
        <f t="shared" si="7"/>
        <v>9568.9394979724548</v>
      </c>
      <c r="J33" s="65">
        <f t="shared" si="7"/>
        <v>6339.6945210569957</v>
      </c>
      <c r="K33" s="65">
        <f t="shared" si="7"/>
        <v>4363.0213951589267</v>
      </c>
      <c r="L33" s="65">
        <f t="shared" si="7"/>
        <v>15.907636317087015</v>
      </c>
      <c r="M33" s="65">
        <f t="shared" si="7"/>
        <v>334.30364294344662</v>
      </c>
      <c r="N33" s="65">
        <f t="shared" si="7"/>
        <v>0</v>
      </c>
      <c r="O33" s="65">
        <f t="shared" si="7"/>
        <v>1929.3978067545065</v>
      </c>
      <c r="P33" s="65">
        <f t="shared" si="7"/>
        <v>0</v>
      </c>
      <c r="Q33" s="65">
        <f t="shared" si="7"/>
        <v>242.90407218378894</v>
      </c>
      <c r="R33" s="65">
        <f t="shared" si="7"/>
        <v>20.93995153357934</v>
      </c>
      <c r="T33" s="87">
        <f t="shared" si="2"/>
        <v>0</v>
      </c>
    </row>
    <row r="34" spans="1:20" x14ac:dyDescent="0.25">
      <c r="A34" s="81">
        <v>454.02</v>
      </c>
      <c r="B34" s="79" t="s">
        <v>508</v>
      </c>
      <c r="C34" s="80" t="str">
        <f>INDEX('Alloc Amt'!B:B,MATCH(Revenue!D:D,'Alloc Amt'!D:D,0))</f>
        <v>Total Production Plant</v>
      </c>
      <c r="D34" s="19">
        <v>73</v>
      </c>
      <c r="F34" s="82">
        <v>5198339.0243848944</v>
      </c>
      <c r="G34" s="65">
        <f t="shared" si="7"/>
        <v>2646851.9202251448</v>
      </c>
      <c r="H34" s="65">
        <f t="shared" si="7"/>
        <v>697220.83856881352</v>
      </c>
      <c r="I34" s="65">
        <f t="shared" si="7"/>
        <v>777702.27084248746</v>
      </c>
      <c r="J34" s="65">
        <f t="shared" si="7"/>
        <v>515249.86927949468</v>
      </c>
      <c r="K34" s="65">
        <f t="shared" si="7"/>
        <v>354598.50566182588</v>
      </c>
      <c r="L34" s="65">
        <f t="shared" si="7"/>
        <v>1292.8710532819596</v>
      </c>
      <c r="M34" s="65">
        <f t="shared" si="7"/>
        <v>27170.064386249182</v>
      </c>
      <c r="N34" s="65">
        <f t="shared" si="7"/>
        <v>0</v>
      </c>
      <c r="O34" s="65">
        <f t="shared" si="7"/>
        <v>156809.12769794729</v>
      </c>
      <c r="P34" s="65">
        <f t="shared" si="7"/>
        <v>0</v>
      </c>
      <c r="Q34" s="65">
        <f t="shared" si="7"/>
        <v>19741.691184717733</v>
      </c>
      <c r="R34" s="65">
        <f t="shared" si="7"/>
        <v>1701.8654849314166</v>
      </c>
      <c r="T34" s="87">
        <f t="shared" si="2"/>
        <v>0</v>
      </c>
    </row>
    <row r="35" spans="1:20" x14ac:dyDescent="0.25">
      <c r="A35" s="81">
        <v>454.03</v>
      </c>
      <c r="B35" s="79" t="s">
        <v>509</v>
      </c>
      <c r="C35" s="80" t="str">
        <f>INDEX('Alloc Amt'!B:B,MATCH(Revenue!D:D,'Alloc Amt'!D:D,0))</f>
        <v>Total OVHD Lines</v>
      </c>
      <c r="D35" s="19">
        <v>57</v>
      </c>
      <c r="F35" s="82">
        <v>7250767.7256151056</v>
      </c>
      <c r="G35" s="65">
        <f t="shared" si="7"/>
        <v>4996898.8833602183</v>
      </c>
      <c r="H35" s="65">
        <f t="shared" si="7"/>
        <v>913019.55681884463</v>
      </c>
      <c r="I35" s="65">
        <f t="shared" si="7"/>
        <v>709808.33032390254</v>
      </c>
      <c r="J35" s="65">
        <f t="shared" si="7"/>
        <v>280789.05110883276</v>
      </c>
      <c r="K35" s="65">
        <f t="shared" si="7"/>
        <v>262831.01905233652</v>
      </c>
      <c r="L35" s="65">
        <f t="shared" si="7"/>
        <v>6583.1553037601743</v>
      </c>
      <c r="M35" s="65">
        <f t="shared" si="7"/>
        <v>70827.177526959582</v>
      </c>
      <c r="N35" s="65">
        <f t="shared" si="7"/>
        <v>616.44775979620681</v>
      </c>
      <c r="O35" s="65">
        <f t="shared" si="7"/>
        <v>0</v>
      </c>
      <c r="P35" s="65">
        <f t="shared" si="7"/>
        <v>0</v>
      </c>
      <c r="Q35" s="65">
        <f t="shared" si="7"/>
        <v>4391.1976196541873</v>
      </c>
      <c r="R35" s="65">
        <f t="shared" si="7"/>
        <v>5002.9067408000446</v>
      </c>
      <c r="T35" s="87">
        <f t="shared" si="2"/>
        <v>0</v>
      </c>
    </row>
    <row r="36" spans="1:20" x14ac:dyDescent="0.25">
      <c r="A36" s="81">
        <v>454.04</v>
      </c>
      <c r="B36" s="79" t="s">
        <v>510</v>
      </c>
      <c r="C36" s="80" t="str">
        <f>INDEX('Alloc Amt'!B:B,MATCH(Revenue!D:D,'Alloc Amt'!D:D,0))</f>
        <v>Prod Trans Dist Allocation Factor</v>
      </c>
      <c r="D36" s="19">
        <v>75</v>
      </c>
      <c r="F36" s="82">
        <v>1222583.4099999999</v>
      </c>
      <c r="G36" s="65">
        <f t="shared" si="7"/>
        <v>695538.12893131527</v>
      </c>
      <c r="H36" s="65">
        <f t="shared" si="7"/>
        <v>153715.00884317199</v>
      </c>
      <c r="I36" s="65">
        <f t="shared" si="7"/>
        <v>151939.44157033414</v>
      </c>
      <c r="J36" s="65">
        <f t="shared" si="7"/>
        <v>89028.948975384439</v>
      </c>
      <c r="K36" s="65">
        <f t="shared" si="7"/>
        <v>65314.894604289009</v>
      </c>
      <c r="L36" s="65">
        <f t="shared" si="7"/>
        <v>373.35113677641317</v>
      </c>
      <c r="M36" s="65">
        <f t="shared" si="7"/>
        <v>8135.2436412699444</v>
      </c>
      <c r="N36" s="65">
        <f t="shared" si="7"/>
        <v>8438.4541253780772</v>
      </c>
      <c r="O36" s="65">
        <f t="shared" si="7"/>
        <v>23207.010705306366</v>
      </c>
      <c r="P36" s="65">
        <f t="shared" si="7"/>
        <v>13983.834966525188</v>
      </c>
      <c r="Q36" s="65">
        <f t="shared" si="7"/>
        <v>12522.834352463931</v>
      </c>
      <c r="R36" s="65">
        <f t="shared" si="7"/>
        <v>386.25814778507527</v>
      </c>
      <c r="T36" s="87">
        <f t="shared" si="2"/>
        <v>0</v>
      </c>
    </row>
    <row r="37" spans="1:20" x14ac:dyDescent="0.25">
      <c r="A37" s="81">
        <v>454.05</v>
      </c>
      <c r="B37" s="79" t="s">
        <v>511</v>
      </c>
      <c r="C37" s="80" t="str">
        <f>INDEX('Alloc Amt'!B:B,MATCH(Revenue!D:D,'Alloc Amt'!D:D,0))</f>
        <v>Equip. (Transformer &amp; Substation) Rentals</v>
      </c>
      <c r="D37" s="19">
        <v>49</v>
      </c>
      <c r="F37" s="82">
        <v>4617136.54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468375.93387140846</v>
      </c>
      <c r="L37" s="65">
        <f t="shared" si="7"/>
        <v>0</v>
      </c>
      <c r="M37" s="65">
        <f t="shared" si="7"/>
        <v>12923.534641993068</v>
      </c>
      <c r="N37" s="65">
        <f t="shared" si="7"/>
        <v>81219.139100116154</v>
      </c>
      <c r="O37" s="65">
        <f t="shared" si="7"/>
        <v>2993777.697343145</v>
      </c>
      <c r="P37" s="65">
        <f t="shared" si="7"/>
        <v>1057271.7356903262</v>
      </c>
      <c r="Q37" s="65">
        <f t="shared" si="7"/>
        <v>0</v>
      </c>
      <c r="R37" s="65">
        <f t="shared" si="7"/>
        <v>3568.4993530114925</v>
      </c>
      <c r="T37" s="87">
        <f t="shared" si="2"/>
        <v>0</v>
      </c>
    </row>
    <row r="38" spans="1:20" x14ac:dyDescent="0.25">
      <c r="A38" s="81">
        <v>456.01</v>
      </c>
      <c r="B38" s="79" t="s">
        <v>512</v>
      </c>
      <c r="C38" s="80" t="str">
        <f>INDEX('Alloc Amt'!B:B,MATCH(Revenue!D:D,'Alloc Amt'!D:D,0))</f>
        <v>Total Production Plant</v>
      </c>
      <c r="D38" s="19">
        <v>73</v>
      </c>
      <c r="F38" s="82">
        <v>20178764.97850965</v>
      </c>
      <c r="G38" s="65">
        <f t="shared" si="7"/>
        <v>10274474.70828628</v>
      </c>
      <c r="H38" s="65">
        <f t="shared" si="7"/>
        <v>2706452.075096094</v>
      </c>
      <c r="I38" s="65">
        <f t="shared" si="7"/>
        <v>3018862.6161104855</v>
      </c>
      <c r="J38" s="65">
        <f t="shared" si="7"/>
        <v>2000082.3279564774</v>
      </c>
      <c r="K38" s="65">
        <f t="shared" si="7"/>
        <v>1376470.4214010709</v>
      </c>
      <c r="L38" s="65">
        <f t="shared" si="7"/>
        <v>5018.6301834713213</v>
      </c>
      <c r="M38" s="65">
        <f t="shared" si="7"/>
        <v>105467.98527938858</v>
      </c>
      <c r="N38" s="65">
        <f t="shared" si="7"/>
        <v>0</v>
      </c>
      <c r="O38" s="65">
        <f t="shared" si="7"/>
        <v>608697.22414389846</v>
      </c>
      <c r="P38" s="65">
        <f t="shared" si="7"/>
        <v>0</v>
      </c>
      <c r="Q38" s="65">
        <f t="shared" si="7"/>
        <v>76632.736885003775</v>
      </c>
      <c r="R38" s="65">
        <f t="shared" si="7"/>
        <v>6606.2531674782322</v>
      </c>
      <c r="T38" s="87">
        <f t="shared" si="2"/>
        <v>0</v>
      </c>
    </row>
    <row r="39" spans="1:20" x14ac:dyDescent="0.25">
      <c r="A39" s="81">
        <v>456.02</v>
      </c>
      <c r="B39" s="79" t="s">
        <v>513</v>
      </c>
      <c r="C39" s="80" t="str">
        <f>INDEX('Alloc Amt'!B:B,MATCH(Revenue!D:D,'Alloc Amt'!D:D,0))</f>
        <v>Total Distribution OH &amp; UG Lines</v>
      </c>
      <c r="D39" s="19">
        <v>71</v>
      </c>
      <c r="F39" s="82">
        <v>402045.72</v>
      </c>
      <c r="G39" s="65">
        <f t="shared" si="7"/>
        <v>269685.81888924731</v>
      </c>
      <c r="H39" s="65">
        <f t="shared" si="7"/>
        <v>48465.821084218143</v>
      </c>
      <c r="I39" s="65">
        <f t="shared" si="7"/>
        <v>42644.346547962065</v>
      </c>
      <c r="J39" s="65">
        <f t="shared" si="7"/>
        <v>18017.485049120824</v>
      </c>
      <c r="K39" s="65">
        <f t="shared" si="7"/>
        <v>13987.651871784623</v>
      </c>
      <c r="L39" s="65">
        <f t="shared" si="7"/>
        <v>228.99461800217341</v>
      </c>
      <c r="M39" s="65">
        <f t="shared" si="7"/>
        <v>4155.3882843911306</v>
      </c>
      <c r="N39" s="65">
        <f t="shared" si="7"/>
        <v>3614.2776513847375</v>
      </c>
      <c r="O39" s="65">
        <f t="shared" si="7"/>
        <v>874.67400555202073</v>
      </c>
      <c r="P39" s="65">
        <f t="shared" si="7"/>
        <v>5.256292399199622</v>
      </c>
      <c r="Q39" s="65">
        <f t="shared" si="7"/>
        <v>202.3633321183928</v>
      </c>
      <c r="R39" s="65">
        <f t="shared" si="7"/>
        <v>163.6423738193086</v>
      </c>
      <c r="T39" s="87">
        <f t="shared" si="2"/>
        <v>0</v>
      </c>
    </row>
    <row r="40" spans="1:20" x14ac:dyDescent="0.25">
      <c r="A40" s="81">
        <v>456.03</v>
      </c>
      <c r="B40" s="79" t="s">
        <v>514</v>
      </c>
      <c r="C40" s="80" t="str">
        <f>INDEX('Alloc Amt'!B:B,MATCH(Revenue!D:D,'Alloc Amt'!D:D,0))</f>
        <v>Total General Plant</v>
      </c>
      <c r="D40" s="19">
        <v>70</v>
      </c>
      <c r="F40" s="82">
        <v>403943.36</v>
      </c>
      <c r="G40" s="65">
        <f t="shared" si="7"/>
        <v>242556.67147889384</v>
      </c>
      <c r="H40" s="65">
        <f t="shared" si="7"/>
        <v>49138.239095739242</v>
      </c>
      <c r="I40" s="65">
        <f t="shared" si="7"/>
        <v>44858.432451296016</v>
      </c>
      <c r="J40" s="65">
        <f t="shared" si="7"/>
        <v>26385.980080817353</v>
      </c>
      <c r="K40" s="65">
        <f t="shared" si="7"/>
        <v>19508.938827068661</v>
      </c>
      <c r="L40" s="65">
        <f t="shared" si="7"/>
        <v>110.07007306994377</v>
      </c>
      <c r="M40" s="65">
        <f t="shared" si="7"/>
        <v>2406.1009467233548</v>
      </c>
      <c r="N40" s="65">
        <f t="shared" si="7"/>
        <v>2492.5372439108128</v>
      </c>
      <c r="O40" s="65">
        <f t="shared" si="7"/>
        <v>6830.4702547285069</v>
      </c>
      <c r="P40" s="65">
        <f t="shared" si="7"/>
        <v>3912.1803154321397</v>
      </c>
      <c r="Q40" s="65">
        <f t="shared" si="7"/>
        <v>5630.3801555320279</v>
      </c>
      <c r="R40" s="65">
        <f t="shared" si="7"/>
        <v>113.35907678806218</v>
      </c>
      <c r="T40" s="87">
        <f t="shared" si="2"/>
        <v>0</v>
      </c>
    </row>
    <row r="41" spans="1:20" x14ac:dyDescent="0.25">
      <c r="A41" s="81">
        <v>456.04</v>
      </c>
      <c r="B41" s="79" t="s">
        <v>515</v>
      </c>
      <c r="C41" s="80" t="str">
        <f>INDEX('Alloc Amt'!B:B,MATCH(Revenue!D:D,'Alloc Amt'!D:D,0))</f>
        <v>Total OVHD Lines</v>
      </c>
      <c r="D41" s="19">
        <v>57</v>
      </c>
      <c r="F41" s="82">
        <v>35693.46</v>
      </c>
      <c r="G41" s="65">
        <f t="shared" si="7"/>
        <v>24598.306988537832</v>
      </c>
      <c r="H41" s="65">
        <f t="shared" si="7"/>
        <v>4494.5346842932477</v>
      </c>
      <c r="I41" s="65">
        <f t="shared" si="7"/>
        <v>3494.1838167810997</v>
      </c>
      <c r="J41" s="65">
        <f t="shared" si="7"/>
        <v>1382.2443558334853</v>
      </c>
      <c r="K41" s="65">
        <f t="shared" si="7"/>
        <v>1293.8420895985828</v>
      </c>
      <c r="L41" s="65">
        <f t="shared" si="7"/>
        <v>32.406994597060809</v>
      </c>
      <c r="M41" s="65">
        <f t="shared" si="7"/>
        <v>348.66197948120964</v>
      </c>
      <c r="N41" s="65">
        <f t="shared" si="7"/>
        <v>3.0345963750354339</v>
      </c>
      <c r="O41" s="65">
        <f t="shared" si="7"/>
        <v>0</v>
      </c>
      <c r="P41" s="65">
        <f t="shared" si="7"/>
        <v>0</v>
      </c>
      <c r="Q41" s="65">
        <f t="shared" si="7"/>
        <v>21.616612546490785</v>
      </c>
      <c r="R41" s="65">
        <f t="shared" si="7"/>
        <v>24.627881955952191</v>
      </c>
      <c r="T41" s="87">
        <f t="shared" si="2"/>
        <v>0</v>
      </c>
    </row>
    <row r="42" spans="1:20" x14ac:dyDescent="0.25">
      <c r="A42" s="81">
        <v>456.05</v>
      </c>
      <c r="B42" s="79" t="s">
        <v>516</v>
      </c>
      <c r="C42" s="80" t="str">
        <f>INDEX('Alloc Amt'!B:B,MATCH(Revenue!D:D,'Alloc Amt'!D:D,0))</f>
        <v>Total Production Plant</v>
      </c>
      <c r="D42" s="19">
        <v>73</v>
      </c>
      <c r="F42" s="82">
        <v>21415123.754653767</v>
      </c>
      <c r="G42" s="65">
        <f t="shared" si="7"/>
        <v>10903994.750240736</v>
      </c>
      <c r="H42" s="65">
        <f t="shared" si="7"/>
        <v>2872277.177812844</v>
      </c>
      <c r="I42" s="65">
        <f t="shared" si="7"/>
        <v>3203829.2031824193</v>
      </c>
      <c r="J42" s="65">
        <f t="shared" si="7"/>
        <v>2122627.9516263749</v>
      </c>
      <c r="K42" s="65">
        <f t="shared" si="7"/>
        <v>1460807.1628921598</v>
      </c>
      <c r="L42" s="65">
        <f t="shared" si="7"/>
        <v>5326.1231087402684</v>
      </c>
      <c r="M42" s="65">
        <f t="shared" si="7"/>
        <v>111930.03929217294</v>
      </c>
      <c r="N42" s="65">
        <f t="shared" si="7"/>
        <v>0</v>
      </c>
      <c r="O42" s="65">
        <f t="shared" si="7"/>
        <v>645992.27941047971</v>
      </c>
      <c r="P42" s="65">
        <f t="shared" si="7"/>
        <v>0</v>
      </c>
      <c r="Q42" s="65">
        <f t="shared" si="7"/>
        <v>81328.046874917491</v>
      </c>
      <c r="R42" s="65">
        <f t="shared" si="7"/>
        <v>7011.0202129213094</v>
      </c>
      <c r="T42" s="87">
        <f t="shared" si="2"/>
        <v>0</v>
      </c>
    </row>
    <row r="43" spans="1:20" x14ac:dyDescent="0.25">
      <c r="A43" s="81">
        <v>456.06</v>
      </c>
      <c r="B43" s="79" t="s">
        <v>517</v>
      </c>
      <c r="C43" s="80" t="str">
        <f>INDEX('Alloc Amt'!B:B,MATCH(Revenue!D:D,'Alloc Amt'!D:D,0))</f>
        <v>Total Production Plant</v>
      </c>
      <c r="D43" s="19">
        <v>73</v>
      </c>
      <c r="F43" s="82">
        <v>0</v>
      </c>
      <c r="G43" s="65">
        <f t="shared" ref="G43:R53" si="8">INDEX(Alloc,($D43),(G$1))*$F43</f>
        <v>0</v>
      </c>
      <c r="H43" s="65">
        <f t="shared" si="8"/>
        <v>0</v>
      </c>
      <c r="I43" s="65">
        <f t="shared" si="8"/>
        <v>0</v>
      </c>
      <c r="J43" s="65">
        <f t="shared" si="8"/>
        <v>0</v>
      </c>
      <c r="K43" s="65">
        <f t="shared" si="8"/>
        <v>0</v>
      </c>
      <c r="L43" s="65">
        <f t="shared" si="8"/>
        <v>0</v>
      </c>
      <c r="M43" s="65">
        <f t="shared" si="8"/>
        <v>0</v>
      </c>
      <c r="N43" s="65">
        <f t="shared" si="8"/>
        <v>0</v>
      </c>
      <c r="O43" s="65">
        <f t="shared" si="8"/>
        <v>0</v>
      </c>
      <c r="P43" s="65">
        <f t="shared" si="8"/>
        <v>0</v>
      </c>
      <c r="Q43" s="65">
        <f t="shared" si="8"/>
        <v>0</v>
      </c>
      <c r="R43" s="65">
        <f t="shared" si="8"/>
        <v>0</v>
      </c>
      <c r="T43" s="87">
        <f t="shared" si="2"/>
        <v>0</v>
      </c>
    </row>
    <row r="44" spans="1:20" x14ac:dyDescent="0.25">
      <c r="A44" s="81">
        <v>456.07</v>
      </c>
      <c r="B44" s="79" t="s">
        <v>518</v>
      </c>
      <c r="C44" s="80" t="str">
        <f>INDEX('Alloc Amt'!B:B,MATCH(Revenue!D:D,'Alloc Amt'!D:D,0))</f>
        <v>Total Production Plant</v>
      </c>
      <c r="D44" s="19">
        <v>73</v>
      </c>
      <c r="F44" s="82">
        <v>16227.01</v>
      </c>
      <c r="G44" s="65">
        <f t="shared" si="8"/>
        <v>8262.349257433214</v>
      </c>
      <c r="H44" s="65">
        <f t="shared" si="8"/>
        <v>2176.4277909910379</v>
      </c>
      <c r="I44" s="65">
        <f t="shared" si="8"/>
        <v>2427.6566931832649</v>
      </c>
      <c r="J44" s="65">
        <f t="shared" si="8"/>
        <v>1608.3915924060732</v>
      </c>
      <c r="K44" s="65">
        <f t="shared" si="8"/>
        <v>1106.9061618274059</v>
      </c>
      <c r="L44" s="65">
        <f t="shared" si="8"/>
        <v>4.0357951668608862</v>
      </c>
      <c r="M44" s="65">
        <f t="shared" si="8"/>
        <v>84.813419137948301</v>
      </c>
      <c r="N44" s="65">
        <f t="shared" si="8"/>
        <v>0</v>
      </c>
      <c r="O44" s="65">
        <f t="shared" si="8"/>
        <v>489.49159939543512</v>
      </c>
      <c r="P44" s="65">
        <f t="shared" si="8"/>
        <v>0</v>
      </c>
      <c r="Q44" s="65">
        <f t="shared" si="8"/>
        <v>61.625188116550845</v>
      </c>
      <c r="R44" s="65">
        <f t="shared" si="8"/>
        <v>5.3125023422081821</v>
      </c>
      <c r="T44" s="87">
        <f t="shared" si="2"/>
        <v>0</v>
      </c>
    </row>
    <row r="45" spans="1:20" x14ac:dyDescent="0.25">
      <c r="A45" s="81">
        <v>456.08</v>
      </c>
      <c r="B45" s="79" t="s">
        <v>519</v>
      </c>
      <c r="C45" s="80" t="str">
        <f>INDEX('Alloc Amt'!B:B,MATCH(Revenue!D:D,'Alloc Amt'!D:D,0))</f>
        <v>Str. &amp; Signal Systems</v>
      </c>
      <c r="D45" s="19">
        <v>12</v>
      </c>
      <c r="F45" s="82">
        <v>1720.49</v>
      </c>
      <c r="G45" s="65">
        <f t="shared" si="8"/>
        <v>0</v>
      </c>
      <c r="H45" s="65">
        <f t="shared" si="8"/>
        <v>0</v>
      </c>
      <c r="I45" s="65">
        <f t="shared" si="8"/>
        <v>0</v>
      </c>
      <c r="J45" s="65">
        <f t="shared" si="8"/>
        <v>0</v>
      </c>
      <c r="K45" s="65">
        <f t="shared" si="8"/>
        <v>0</v>
      </c>
      <c r="L45" s="65">
        <f t="shared" si="8"/>
        <v>0</v>
      </c>
      <c r="M45" s="65">
        <f t="shared" si="8"/>
        <v>0</v>
      </c>
      <c r="N45" s="65">
        <f t="shared" si="8"/>
        <v>0</v>
      </c>
      <c r="O45" s="65">
        <f t="shared" si="8"/>
        <v>0</v>
      </c>
      <c r="P45" s="65">
        <f t="shared" si="8"/>
        <v>0</v>
      </c>
      <c r="Q45" s="65">
        <f t="shared" si="8"/>
        <v>1720.49</v>
      </c>
      <c r="R45" s="65">
        <f t="shared" si="8"/>
        <v>0</v>
      </c>
      <c r="T45" s="87">
        <f t="shared" si="2"/>
        <v>0</v>
      </c>
    </row>
    <row r="46" spans="1:20" x14ac:dyDescent="0.25">
      <c r="A46" s="81">
        <v>456.09</v>
      </c>
      <c r="B46" s="79" t="s">
        <v>520</v>
      </c>
      <c r="C46" s="80" t="str">
        <f>INDEX('Alloc Amt'!B:B,MATCH(Revenue!D:D,'Alloc Amt'!D:D,0))</f>
        <v>Total Production Plant</v>
      </c>
      <c r="D46" s="19">
        <v>73</v>
      </c>
      <c r="F46" s="82">
        <v>0</v>
      </c>
      <c r="G46" s="65">
        <f t="shared" si="8"/>
        <v>0</v>
      </c>
      <c r="H46" s="65">
        <f t="shared" si="8"/>
        <v>0</v>
      </c>
      <c r="I46" s="65">
        <f t="shared" si="8"/>
        <v>0</v>
      </c>
      <c r="J46" s="65">
        <f t="shared" si="8"/>
        <v>0</v>
      </c>
      <c r="K46" s="65">
        <f t="shared" si="8"/>
        <v>0</v>
      </c>
      <c r="L46" s="65">
        <f t="shared" si="8"/>
        <v>0</v>
      </c>
      <c r="M46" s="65">
        <f t="shared" si="8"/>
        <v>0</v>
      </c>
      <c r="N46" s="65">
        <f t="shared" si="8"/>
        <v>0</v>
      </c>
      <c r="O46" s="65">
        <f t="shared" si="8"/>
        <v>0</v>
      </c>
      <c r="P46" s="65">
        <f t="shared" si="8"/>
        <v>0</v>
      </c>
      <c r="Q46" s="65">
        <f t="shared" si="8"/>
        <v>0</v>
      </c>
      <c r="R46" s="65">
        <f t="shared" si="8"/>
        <v>0</v>
      </c>
      <c r="T46" s="87">
        <f t="shared" si="2"/>
        <v>0</v>
      </c>
    </row>
    <row r="47" spans="1:20" x14ac:dyDescent="0.25">
      <c r="A47" s="81">
        <v>456.1</v>
      </c>
      <c r="B47" s="79" t="s">
        <v>521</v>
      </c>
      <c r="C47" s="80" t="str">
        <f>INDEX('Alloc Amt'!B:B,MATCH(Revenue!D:D,'Alloc Amt'!D:D,0))</f>
        <v>Total Production Plant</v>
      </c>
      <c r="D47" s="19">
        <v>73</v>
      </c>
      <c r="F47" s="82">
        <v>81157.8</v>
      </c>
      <c r="G47" s="65">
        <f t="shared" si="8"/>
        <v>41323.329964356541</v>
      </c>
      <c r="H47" s="65">
        <f t="shared" si="8"/>
        <v>10885.190270770305</v>
      </c>
      <c r="I47" s="65">
        <f t="shared" si="8"/>
        <v>12141.68700050279</v>
      </c>
      <c r="J47" s="65">
        <f t="shared" si="8"/>
        <v>8044.2129004772669</v>
      </c>
      <c r="K47" s="65">
        <f t="shared" si="8"/>
        <v>5536.0826732932464</v>
      </c>
      <c r="L47" s="65">
        <f t="shared" si="8"/>
        <v>20.184633952469522</v>
      </c>
      <c r="M47" s="65">
        <f t="shared" si="8"/>
        <v>424.18600270251767</v>
      </c>
      <c r="N47" s="65">
        <f t="shared" si="8"/>
        <v>0</v>
      </c>
      <c r="O47" s="65">
        <f t="shared" si="8"/>
        <v>2448.1442561146414</v>
      </c>
      <c r="P47" s="65">
        <f t="shared" si="8"/>
        <v>0</v>
      </c>
      <c r="Q47" s="65">
        <f t="shared" si="8"/>
        <v>308.21233807863615</v>
      </c>
      <c r="R47" s="65">
        <f t="shared" si="8"/>
        <v>26.569959751578583</v>
      </c>
      <c r="T47" s="87">
        <f t="shared" si="2"/>
        <v>0</v>
      </c>
    </row>
    <row r="48" spans="1:20" x14ac:dyDescent="0.25">
      <c r="A48" s="81">
        <v>456.11</v>
      </c>
      <c r="B48" s="79" t="s">
        <v>522</v>
      </c>
      <c r="C48" s="80" t="str">
        <f>INDEX('Alloc Amt'!B:B,MATCH(Revenue!D:D,'Alloc Amt'!D:D,0))</f>
        <v>Total Production Plant</v>
      </c>
      <c r="D48" s="19">
        <v>73</v>
      </c>
      <c r="F48" s="82">
        <v>-117872.25000000012</v>
      </c>
      <c r="G48" s="65">
        <f t="shared" si="8"/>
        <v>-60017.322800656621</v>
      </c>
      <c r="H48" s="65">
        <f t="shared" si="8"/>
        <v>-15809.47079509063</v>
      </c>
      <c r="I48" s="65">
        <f t="shared" si="8"/>
        <v>-17634.385919098549</v>
      </c>
      <c r="J48" s="65">
        <f t="shared" si="8"/>
        <v>-11683.282125171978</v>
      </c>
      <c r="K48" s="65">
        <f t="shared" si="8"/>
        <v>-8040.5151555006478</v>
      </c>
      <c r="L48" s="65">
        <f t="shared" si="8"/>
        <v>-29.315829401535993</v>
      </c>
      <c r="M48" s="65">
        <f t="shared" si="8"/>
        <v>-616.08075326157052</v>
      </c>
      <c r="N48" s="65">
        <f t="shared" si="8"/>
        <v>0</v>
      </c>
      <c r="O48" s="65">
        <f t="shared" si="8"/>
        <v>-3555.6443347750837</v>
      </c>
      <c r="P48" s="65">
        <f t="shared" si="8"/>
        <v>0</v>
      </c>
      <c r="Q48" s="65">
        <f t="shared" si="8"/>
        <v>-447.64251577900779</v>
      </c>
      <c r="R48" s="65">
        <f t="shared" si="8"/>
        <v>-38.589771264475033</v>
      </c>
      <c r="T48" s="87">
        <f t="shared" si="2"/>
        <v>0</v>
      </c>
    </row>
    <row r="49" spans="1:20" x14ac:dyDescent="0.25">
      <c r="A49" s="81">
        <v>456.12</v>
      </c>
      <c r="B49" s="79" t="s">
        <v>523</v>
      </c>
      <c r="C49" s="80" t="str">
        <f>INDEX('Alloc Amt'!B:B,MATCH(Revenue!D:D,'Alloc Amt'!D:D,0))</f>
        <v>Total Production Plant</v>
      </c>
      <c r="D49" s="19">
        <v>73</v>
      </c>
      <c r="F49" s="82">
        <v>305.69</v>
      </c>
      <c r="G49" s="65">
        <f t="shared" si="8"/>
        <v>155.6489793563176</v>
      </c>
      <c r="H49" s="65">
        <f t="shared" si="8"/>
        <v>41.000295891113048</v>
      </c>
      <c r="I49" s="65">
        <f t="shared" si="8"/>
        <v>45.733032427982252</v>
      </c>
      <c r="J49" s="65">
        <f t="shared" si="8"/>
        <v>30.299434454197819</v>
      </c>
      <c r="K49" s="65">
        <f t="shared" si="8"/>
        <v>20.852279292920858</v>
      </c>
      <c r="L49" s="65">
        <f t="shared" si="8"/>
        <v>7.6027698544445604E-2</v>
      </c>
      <c r="M49" s="65">
        <f t="shared" si="8"/>
        <v>1.5977443839795142</v>
      </c>
      <c r="N49" s="65">
        <f t="shared" si="8"/>
        <v>0</v>
      </c>
      <c r="O49" s="65">
        <f t="shared" si="8"/>
        <v>9.2212112409612459</v>
      </c>
      <c r="P49" s="65">
        <f t="shared" si="8"/>
        <v>0</v>
      </c>
      <c r="Q49" s="65">
        <f t="shared" si="8"/>
        <v>1.1609165062046813</v>
      </c>
      <c r="R49" s="65">
        <f t="shared" si="8"/>
        <v>0.100078747778526</v>
      </c>
      <c r="T49" s="87">
        <f t="shared" si="2"/>
        <v>0</v>
      </c>
    </row>
    <row r="50" spans="1:20" x14ac:dyDescent="0.25">
      <c r="A50" s="81">
        <v>456.13</v>
      </c>
      <c r="B50" s="79" t="s">
        <v>524</v>
      </c>
      <c r="C50" s="80" t="str">
        <f>INDEX('Alloc Amt'!B:B,MATCH(Revenue!D:D,'Alloc Amt'!D:D,0))</f>
        <v>Total Distribution Plant</v>
      </c>
      <c r="D50" s="19">
        <v>68</v>
      </c>
      <c r="F50" s="82">
        <v>223368.24</v>
      </c>
      <c r="G50" s="65">
        <f t="shared" si="8"/>
        <v>148520.32296934654</v>
      </c>
      <c r="H50" s="65">
        <f t="shared" si="8"/>
        <v>26477.500454998029</v>
      </c>
      <c r="I50" s="65">
        <f t="shared" si="8"/>
        <v>21021.552168605554</v>
      </c>
      <c r="J50" s="65">
        <f t="shared" si="8"/>
        <v>8951.6301243299458</v>
      </c>
      <c r="K50" s="65">
        <f t="shared" si="8"/>
        <v>7888.1154469677931</v>
      </c>
      <c r="L50" s="65">
        <f t="shared" si="8"/>
        <v>89.952070511980949</v>
      </c>
      <c r="M50" s="65">
        <f t="shared" si="8"/>
        <v>1951.3189178543187</v>
      </c>
      <c r="N50" s="65">
        <f t="shared" si="8"/>
        <v>2685.7217182009381</v>
      </c>
      <c r="O50" s="65">
        <f t="shared" si="8"/>
        <v>1023.5371916217449</v>
      </c>
      <c r="P50" s="65">
        <f t="shared" si="8"/>
        <v>353.63654310359431</v>
      </c>
      <c r="Q50" s="65">
        <f t="shared" si="8"/>
        <v>4336.4106975163595</v>
      </c>
      <c r="R50" s="65">
        <f t="shared" si="8"/>
        <v>68.541696943158058</v>
      </c>
      <c r="T50" s="87">
        <f t="shared" si="2"/>
        <v>0</v>
      </c>
    </row>
    <row r="51" spans="1:20" x14ac:dyDescent="0.25">
      <c r="A51" s="81">
        <v>456.14</v>
      </c>
      <c r="B51" s="79" t="s">
        <v>525</v>
      </c>
      <c r="C51" s="80" t="str">
        <f>INDEX('Alloc Amt'!B:B,MATCH(Revenue!D:D,'Alloc Amt'!D:D,0))</f>
        <v>Total Distribution Plant</v>
      </c>
      <c r="D51" s="19">
        <v>68</v>
      </c>
      <c r="F51" s="82">
        <v>138492.68999999575</v>
      </c>
      <c r="G51" s="65">
        <f t="shared" si="8"/>
        <v>92085.513355403426</v>
      </c>
      <c r="H51" s="65">
        <f t="shared" si="8"/>
        <v>16416.56961835214</v>
      </c>
      <c r="I51" s="65">
        <f t="shared" si="8"/>
        <v>13033.774666467478</v>
      </c>
      <c r="J51" s="65">
        <f t="shared" si="8"/>
        <v>5550.1862565754682</v>
      </c>
      <c r="K51" s="65">
        <f t="shared" si="8"/>
        <v>4890.7862965705799</v>
      </c>
      <c r="L51" s="65">
        <f t="shared" si="8"/>
        <v>55.772048059623593</v>
      </c>
      <c r="M51" s="65">
        <f t="shared" si="8"/>
        <v>1209.8560027223448</v>
      </c>
      <c r="N51" s="65">
        <f t="shared" si="8"/>
        <v>1665.2001436957128</v>
      </c>
      <c r="O51" s="65">
        <f t="shared" si="8"/>
        <v>634.61313471752555</v>
      </c>
      <c r="P51" s="65">
        <f t="shared" si="8"/>
        <v>219.26159303899348</v>
      </c>
      <c r="Q51" s="65">
        <f t="shared" si="8"/>
        <v>2688.6596878938499</v>
      </c>
      <c r="R51" s="65">
        <f t="shared" si="8"/>
        <v>42.497196498582099</v>
      </c>
      <c r="T51" s="87">
        <f t="shared" si="2"/>
        <v>0</v>
      </c>
    </row>
    <row r="52" spans="1:20" x14ac:dyDescent="0.25">
      <c r="A52" s="81">
        <v>456.15</v>
      </c>
      <c r="B52" s="79" t="s">
        <v>526</v>
      </c>
      <c r="C52" s="80" t="str">
        <f>INDEX('Alloc Amt'!B:B,MATCH(Revenue!D:D,'Alloc Amt'!D:D,0))</f>
        <v>Schedule 449 / 459 Retail Revenue</v>
      </c>
      <c r="D52" s="19">
        <v>6</v>
      </c>
      <c r="F52" s="82">
        <v>0</v>
      </c>
      <c r="G52" s="65">
        <f t="shared" si="8"/>
        <v>0</v>
      </c>
      <c r="H52" s="65">
        <f t="shared" si="8"/>
        <v>0</v>
      </c>
      <c r="I52" s="65">
        <f t="shared" si="8"/>
        <v>0</v>
      </c>
      <c r="J52" s="65">
        <f t="shared" si="8"/>
        <v>0</v>
      </c>
      <c r="K52" s="65">
        <f t="shared" si="8"/>
        <v>0</v>
      </c>
      <c r="L52" s="65">
        <f t="shared" si="8"/>
        <v>0</v>
      </c>
      <c r="M52" s="65">
        <f t="shared" si="8"/>
        <v>0</v>
      </c>
      <c r="N52" s="65">
        <f t="shared" si="8"/>
        <v>0</v>
      </c>
      <c r="O52" s="65">
        <f t="shared" si="8"/>
        <v>0</v>
      </c>
      <c r="P52" s="65">
        <f t="shared" si="8"/>
        <v>0</v>
      </c>
      <c r="Q52" s="65">
        <f t="shared" si="8"/>
        <v>0</v>
      </c>
      <c r="R52" s="65">
        <f t="shared" si="8"/>
        <v>0</v>
      </c>
      <c r="T52" s="87">
        <f t="shared" si="2"/>
        <v>0</v>
      </c>
    </row>
    <row r="53" spans="1:20" x14ac:dyDescent="0.25">
      <c r="A53" s="81">
        <v>456.16</v>
      </c>
      <c r="B53" s="79" t="s">
        <v>527</v>
      </c>
      <c r="C53" s="80" t="str">
        <f>INDEX('Alloc Amt'!B:B,MATCH(Revenue!D:D,'Alloc Amt'!D:D,0))</f>
        <v>Direct Assignment Special Contract</v>
      </c>
      <c r="D53" s="19">
        <v>5</v>
      </c>
      <c r="F53" s="82">
        <v>1010226.96</v>
      </c>
      <c r="G53" s="65">
        <f t="shared" si="8"/>
        <v>0</v>
      </c>
      <c r="H53" s="65">
        <f t="shared" si="8"/>
        <v>0</v>
      </c>
      <c r="I53" s="65">
        <f t="shared" si="8"/>
        <v>0</v>
      </c>
      <c r="J53" s="65">
        <f t="shared" si="8"/>
        <v>0</v>
      </c>
      <c r="K53" s="65">
        <f t="shared" si="8"/>
        <v>0</v>
      </c>
      <c r="L53" s="65">
        <f t="shared" si="8"/>
        <v>0</v>
      </c>
      <c r="M53" s="65">
        <f t="shared" si="8"/>
        <v>0</v>
      </c>
      <c r="N53" s="65">
        <f t="shared" si="8"/>
        <v>1010226.96</v>
      </c>
      <c r="O53" s="65">
        <f t="shared" si="8"/>
        <v>0</v>
      </c>
      <c r="P53" s="65">
        <f t="shared" si="8"/>
        <v>0</v>
      </c>
      <c r="Q53" s="65">
        <f t="shared" si="8"/>
        <v>0</v>
      </c>
      <c r="R53" s="65">
        <f t="shared" si="8"/>
        <v>0</v>
      </c>
      <c r="T53" s="87">
        <f t="shared" si="2"/>
        <v>0</v>
      </c>
    </row>
    <row r="54" spans="1:20" x14ac:dyDescent="0.25">
      <c r="A54" s="83"/>
      <c r="B54" s="24" t="s">
        <v>528</v>
      </c>
      <c r="C54" s="26"/>
      <c r="D54" s="54"/>
      <c r="E54" s="54"/>
      <c r="F54" s="84">
        <f>SUM(F23:F53)</f>
        <v>76831178.983163401</v>
      </c>
      <c r="G54" s="84">
        <f t="shared" ref="G54:R54" si="9">SUM(G23:G53)</f>
        <v>41037037.342681311</v>
      </c>
      <c r="H54" s="84">
        <f t="shared" si="9"/>
        <v>10993162.753491532</v>
      </c>
      <c r="I54" s="84">
        <f t="shared" si="9"/>
        <v>8310273.626649214</v>
      </c>
      <c r="J54" s="84">
        <f t="shared" si="9"/>
        <v>5117729.1063556289</v>
      </c>
      <c r="K54" s="84">
        <f t="shared" si="9"/>
        <v>4059226.2809132556</v>
      </c>
      <c r="L54" s="84">
        <f t="shared" si="9"/>
        <v>19122.214854004345</v>
      </c>
      <c r="M54" s="84">
        <f t="shared" si="9"/>
        <v>346897.3191762889</v>
      </c>
      <c r="N54" s="84">
        <f t="shared" si="9"/>
        <v>1110961.7723388576</v>
      </c>
      <c r="O54" s="84">
        <f t="shared" si="9"/>
        <v>4441937.7065975005</v>
      </c>
      <c r="P54" s="84">
        <f t="shared" si="9"/>
        <v>1077738.3650382054</v>
      </c>
      <c r="Q54" s="84">
        <f t="shared" si="9"/>
        <v>292353.24062874768</v>
      </c>
      <c r="R54" s="84">
        <f t="shared" si="9"/>
        <v>24739.254438858403</v>
      </c>
      <c r="T54" s="87">
        <f t="shared" si="2"/>
        <v>0</v>
      </c>
    </row>
    <row r="55" spans="1:20" x14ac:dyDescent="0.25">
      <c r="A55" s="81"/>
      <c r="B55" s="79"/>
      <c r="C55" s="80"/>
      <c r="F55" s="82"/>
      <c r="T55" s="87">
        <f t="shared" si="2"/>
        <v>0</v>
      </c>
    </row>
    <row r="56" spans="1:20" ht="15.75" thickBot="1" x14ac:dyDescent="0.3">
      <c r="A56" s="85"/>
      <c r="B56" s="28" t="s">
        <v>529</v>
      </c>
      <c r="C56" s="30"/>
      <c r="D56" s="54"/>
      <c r="E56" s="54"/>
      <c r="F56" s="84">
        <f>SUM(F15,F20,F54)</f>
        <v>2079303050.9470448</v>
      </c>
      <c r="G56" s="84">
        <f t="shared" ref="G56:R56" si="10">SUM(G15,G20,G54)</f>
        <v>1149718464.1998212</v>
      </c>
      <c r="H56" s="84">
        <f t="shared" si="10"/>
        <v>275117142.33254659</v>
      </c>
      <c r="I56" s="84">
        <f t="shared" si="10"/>
        <v>279831798.61170179</v>
      </c>
      <c r="J56" s="84">
        <f t="shared" si="10"/>
        <v>165940693.89933634</v>
      </c>
      <c r="K56" s="84">
        <f t="shared" si="10"/>
        <v>117687539.98460567</v>
      </c>
      <c r="L56" s="84">
        <f t="shared" si="10"/>
        <v>288496.5231832164</v>
      </c>
      <c r="M56" s="84">
        <f t="shared" si="10"/>
        <v>11062630.601803349</v>
      </c>
      <c r="N56" s="84">
        <f t="shared" si="10"/>
        <v>6604514.7723388579</v>
      </c>
      <c r="O56" s="84">
        <f t="shared" si="10"/>
        <v>44735170.140648887</v>
      </c>
      <c r="P56" s="84">
        <f t="shared" si="10"/>
        <v>11195110.145038206</v>
      </c>
      <c r="Q56" s="84">
        <f t="shared" si="10"/>
        <v>16770618.685603239</v>
      </c>
      <c r="R56" s="84">
        <f t="shared" si="10"/>
        <v>350871.05041745241</v>
      </c>
      <c r="T56" s="87">
        <f t="shared" si="2"/>
        <v>0</v>
      </c>
    </row>
    <row r="57" spans="1:20" ht="15.75" thickTop="1" x14ac:dyDescent="0.25">
      <c r="A57" s="81"/>
      <c r="B57" s="79"/>
      <c r="C57" s="80"/>
      <c r="F57" s="82"/>
      <c r="T57" s="87">
        <f t="shared" si="2"/>
        <v>0</v>
      </c>
    </row>
    <row r="58" spans="1:20" x14ac:dyDescent="0.25">
      <c r="A58" s="81"/>
      <c r="B58" s="79"/>
      <c r="C58" s="80"/>
      <c r="F58" s="82">
        <v>2079303050.9470448</v>
      </c>
      <c r="T58" s="87">
        <f t="shared" si="2"/>
        <v>-2079303050.9470448</v>
      </c>
    </row>
    <row r="59" spans="1:20" x14ac:dyDescent="0.25">
      <c r="A59" s="79"/>
      <c r="B59" s="79"/>
      <c r="C59" s="80"/>
      <c r="F59" s="8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sheetPr>
    <pageSetUpPr fitToPage="1"/>
  </sheetPr>
  <dimension ref="A1:Y100"/>
  <sheetViews>
    <sheetView zoomScale="85" zoomScaleNormal="85" workbookViewId="0">
      <pane xSplit="3" ySplit="3" topLeftCell="N70" activePane="bottomRight" state="frozen"/>
      <selection pane="topRight" activeCell="D1" sqref="D1"/>
      <selection pane="bottomLeft" activeCell="A4" sqref="A4"/>
      <selection pane="bottomRight" activeCell="Y87" sqref="Y87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42" t="s">
        <v>118</v>
      </c>
      <c r="T2" s="142"/>
      <c r="U2" s="142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08" t="s">
        <v>584</v>
      </c>
      <c r="K3" s="108" t="s">
        <v>585</v>
      </c>
      <c r="L3" s="108" t="s">
        <v>586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2">
        <f>SUM('Rate Base'!G35:G36)</f>
        <v>21372455.737104561</v>
      </c>
      <c r="G60" s="42">
        <f>SUM('Rate Base'!H35:H36)</f>
        <v>6889967.5375397019</v>
      </c>
      <c r="H60" s="42">
        <f>SUM('Rate Base'!I35:I36)</f>
        <v>8964074.9893805142</v>
      </c>
      <c r="I60" s="42">
        <f>SUM('Rate Base'!J35:J36)</f>
        <v>5268260.9435781874</v>
      </c>
      <c r="J60" s="42">
        <f>SUM('Rate Base'!K35:K36)</f>
        <v>4339290.7146512726</v>
      </c>
      <c r="K60" s="42">
        <f>SUM('Rate Base'!L35:L36)</f>
        <v>949.85422932245592</v>
      </c>
      <c r="L60" s="42">
        <f>SUM('Rate Base'!M35:M36)</f>
        <v>221834.13773903536</v>
      </c>
      <c r="M60" s="42">
        <f>SUM('Rate Base'!N35:N36)</f>
        <v>4381901.8082543351</v>
      </c>
      <c r="N60" s="42">
        <f>SUM('Rate Base'!O35:O36)</f>
        <v>16046.563877077044</v>
      </c>
      <c r="O60" s="42">
        <f>SUM('Rate Base'!P35:P36)</f>
        <v>0</v>
      </c>
      <c r="P60" s="42">
        <f>SUM('Rate Base'!Q35:Q36)</f>
        <v>30334.570252941056</v>
      </c>
      <c r="Q60" s="42">
        <f>SUM('Rate Base'!R35:R36)</f>
        <v>2883.1433930444241</v>
      </c>
      <c r="X60" s="14">
        <v>51488000</v>
      </c>
      <c r="Y60" s="96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90" si="2">SUM(F61:Q61)</f>
        <v>8103000.0000000009</v>
      </c>
      <c r="F61" s="42">
        <f>SUM('Rate Base'!G37:G38)</f>
        <v>3792899.44249753</v>
      </c>
      <c r="G61" s="42">
        <f>SUM('Rate Base'!H37:H38)</f>
        <v>1044125.5497413003</v>
      </c>
      <c r="H61" s="42">
        <f>SUM('Rate Base'!I37:I38)</f>
        <v>1296782.1146047371</v>
      </c>
      <c r="I61" s="42">
        <f>SUM('Rate Base'!J37:J38)</f>
        <v>754188.6889221567</v>
      </c>
      <c r="J61" s="42">
        <f>SUM('Rate Base'!K37:K38)</f>
        <v>495124.92649974383</v>
      </c>
      <c r="K61" s="42">
        <f>SUM('Rate Base'!L37:L38)</f>
        <v>1.0767494427319133</v>
      </c>
      <c r="L61" s="42">
        <f>SUM('Rate Base'!M37:M38)</f>
        <v>60872.41462068462</v>
      </c>
      <c r="M61" s="42">
        <f>SUM('Rate Base'!N37:N38)</f>
        <v>359066.02125357295</v>
      </c>
      <c r="N61" s="42">
        <f>SUM('Rate Base'!O37:O38)</f>
        <v>134228.77736994543</v>
      </c>
      <c r="O61" s="42">
        <f>SUM('Rate Base'!P37:P38)</f>
        <v>159099.74616251249</v>
      </c>
      <c r="P61" s="42">
        <f>SUM('Rate Base'!Q37:Q38)</f>
        <v>5763.3013922225664</v>
      </c>
      <c r="Q61" s="42">
        <f>SUM('Rate Base'!R37:R38)</f>
        <v>847.94018615138168</v>
      </c>
      <c r="X61" s="14">
        <v>8103000</v>
      </c>
      <c r="Y61" s="96">
        <f t="shared" ref="Y61:Y91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2">
        <f>SUM('Rate Base'!G39:G40)</f>
        <v>244351600.54763758</v>
      </c>
      <c r="G62" s="42">
        <f>SUM('Rate Base'!H39:H40)</f>
        <v>59077851.688851751</v>
      </c>
      <c r="H62" s="42">
        <f>SUM('Rate Base'!I39:I40)</f>
        <v>64914131.167985559</v>
      </c>
      <c r="I62" s="42">
        <f>SUM('Rate Base'!J39:J40)</f>
        <v>34540268.724038981</v>
      </c>
      <c r="J62" s="42">
        <f>SUM('Rate Base'!K39:K40)</f>
        <v>31405453.884710141</v>
      </c>
      <c r="K62" s="42">
        <f>SUM('Rate Base'!L39:L40)</f>
        <v>113070.2220244175</v>
      </c>
      <c r="L62" s="42">
        <f>SUM('Rate Base'!M39:M40)</f>
        <v>3531377.7871913705</v>
      </c>
      <c r="M62" s="42">
        <f>SUM('Rate Base'!N39:N40)</f>
        <v>15160583.846818591</v>
      </c>
      <c r="N62" s="42">
        <f>SUM('Rate Base'!O39:O40)</f>
        <v>12313198.493169427</v>
      </c>
      <c r="O62" s="42">
        <f>SUM('Rate Base'!P39:P40)</f>
        <v>5304941.1516191633</v>
      </c>
      <c r="P62" s="42">
        <f>SUM('Rate Base'!Q39:Q40)</f>
        <v>353145.04930748604</v>
      </c>
      <c r="Q62" s="42">
        <f>SUM('Rate Base'!R39:R40)</f>
        <v>120377.43664552382</v>
      </c>
      <c r="X62" s="14">
        <v>471186000</v>
      </c>
      <c r="Y62" s="96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2">
        <f>'Rate Base'!G43+'Rate Base'!G44+'Rate Base'!G42</f>
        <v>581937748.76052105</v>
      </c>
      <c r="G63" s="42">
        <f>'Rate Base'!H43+'Rate Base'!H44+'Rate Base'!H42</f>
        <v>106330057.47600698</v>
      </c>
      <c r="H63" s="42">
        <f>'Rate Base'!I43+'Rate Base'!I44+'Rate Base'!I42</f>
        <v>82664122.577238679</v>
      </c>
      <c r="I63" s="42">
        <f>'Rate Base'!J43+'Rate Base'!J44+'Rate Base'!J42</f>
        <v>32700631.350177687</v>
      </c>
      <c r="J63" s="42">
        <f>'Rate Base'!K43+'Rate Base'!K44+'Rate Base'!K42</f>
        <v>30609242.872830883</v>
      </c>
      <c r="K63" s="42">
        <f>'Rate Base'!L43+'Rate Base'!L44+'Rate Base'!L42</f>
        <v>766672.82381245471</v>
      </c>
      <c r="L63" s="42">
        <f>'Rate Base'!M43+'Rate Base'!M44+'Rate Base'!M42</f>
        <v>8248517.5712388661</v>
      </c>
      <c r="M63" s="42">
        <f>'Rate Base'!N43+'Rate Base'!N44+'Rate Base'!N42</f>
        <v>71791.370995891833</v>
      </c>
      <c r="N63" s="42">
        <f>'Rate Base'!O43+'Rate Base'!O44+'Rate Base'!O42</f>
        <v>0</v>
      </c>
      <c r="O63" s="42">
        <f>'Rate Base'!P43+'Rate Base'!P44+'Rate Base'!P42</f>
        <v>0</v>
      </c>
      <c r="P63" s="42">
        <f>'Rate Base'!Q43+'Rate Base'!Q44+'Rate Base'!Q42</f>
        <v>511397.91234392719</v>
      </c>
      <c r="Q63" s="42">
        <f>'Rate Base'!R43+'Rate Base'!R44+'Rate Base'!R42</f>
        <v>582637.42252119072</v>
      </c>
      <c r="X63" s="14">
        <v>844422820.1376878</v>
      </c>
      <c r="Y63" s="96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2">
        <f>SUM('Rate Base'!G45:G47)</f>
        <v>1147188674.5933521</v>
      </c>
      <c r="G64" s="42">
        <f>SUM('Rate Base'!H45:H47)</f>
        <v>204414987.3002581</v>
      </c>
      <c r="H64" s="42">
        <f>SUM('Rate Base'!I45:I47)</f>
        <v>190755765.52233809</v>
      </c>
      <c r="I64" s="42">
        <f>SUM('Rate Base'!J45:J47)</f>
        <v>82820865.512853488</v>
      </c>
      <c r="J64" s="42">
        <f>SUM('Rate Base'!K45:K47)</f>
        <v>59074443.691759177</v>
      </c>
      <c r="K64" s="42">
        <f>SUM('Rate Base'!L45:L47)</f>
        <v>701556.56408871245</v>
      </c>
      <c r="L64" s="42">
        <f>SUM('Rate Base'!M45:M47)</f>
        <v>18394305.9610826</v>
      </c>
      <c r="M64" s="42">
        <f>SUM('Rate Base'!N45:N47)</f>
        <v>23101629.51589638</v>
      </c>
      <c r="N64" s="42">
        <f>SUM('Rate Base'!O45:O47)</f>
        <v>5608088.4825534066</v>
      </c>
      <c r="O64" s="42">
        <f>SUM('Rate Base'!P45:P47)</f>
        <v>33701.416388018217</v>
      </c>
      <c r="P64" s="42">
        <f>SUM('Rate Base'!Q45:Q47)</f>
        <v>786081.45132831635</v>
      </c>
      <c r="Q64" s="42">
        <f>SUM('Rate Base'!R45:R47)</f>
        <v>466577.37756261346</v>
      </c>
      <c r="X64" s="14">
        <v>1733346677.389461</v>
      </c>
      <c r="Y64" s="96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2">
        <f>SUM('Rate Base'!G48:G50)</f>
        <v>383945888.86365861</v>
      </c>
      <c r="G65" s="42">
        <f>SUM('Rate Base'!H48:H50)</f>
        <v>60546586.126946419</v>
      </c>
      <c r="H65" s="42">
        <f>SUM('Rate Base'!I48:I50)</f>
        <v>21842883.45091062</v>
      </c>
      <c r="I65" s="42">
        <f>SUM('Rate Base'!J48:J50)</f>
        <v>5213056.3602464003</v>
      </c>
      <c r="J65" s="42">
        <f>SUM('Rate Base'!K48:K50)</f>
        <v>2507661.8666352136</v>
      </c>
      <c r="K65" s="42">
        <f>SUM('Rate Base'!L48:L50)</f>
        <v>0</v>
      </c>
      <c r="L65" s="42">
        <f>SUM('Rate Base'!M48:M50)</f>
        <v>143717.78811025881</v>
      </c>
      <c r="M65" s="42">
        <f>SUM('Rate Base'!N48:N50)</f>
        <v>4867465.4686576258</v>
      </c>
      <c r="N65" s="42">
        <f>SUM('Rate Base'!O48:O50)</f>
        <v>0</v>
      </c>
      <c r="O65" s="42">
        <f>SUM('Rate Base'!P48:P50)</f>
        <v>0</v>
      </c>
      <c r="P65" s="42">
        <f>SUM('Rate Base'!Q48:Q50)</f>
        <v>20407196.77107273</v>
      </c>
      <c r="Q65" s="42">
        <f>SUM('Rate Base'!R48:R50)</f>
        <v>58999.853382014429</v>
      </c>
      <c r="X65" s="14">
        <v>499533456.54961985</v>
      </c>
      <c r="Y65" s="96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2">
        <f>SUM('Rate Base'!G51:G52)</f>
        <v>183429207.03493428</v>
      </c>
      <c r="G66" s="42">
        <f>SUM('Rate Base'!H51:H52)</f>
        <v>5391540.3962266576</v>
      </c>
      <c r="H66" s="42">
        <f>SUM('Rate Base'!I51:I52)</f>
        <v>206571.28579529174</v>
      </c>
      <c r="I66" s="42">
        <f>SUM('Rate Base'!J51:J52)</f>
        <v>4475.5454312894217</v>
      </c>
      <c r="J66" s="42">
        <f>SUM('Rate Base'!K51:K52)</f>
        <v>0</v>
      </c>
      <c r="K66" s="42">
        <f>SUM('Rate Base'!L51:L52)</f>
        <v>0</v>
      </c>
      <c r="L66" s="42">
        <f>SUM('Rate Base'!M51:M52)</f>
        <v>0</v>
      </c>
      <c r="M66" s="42">
        <f>SUM('Rate Base'!N51:N52)</f>
        <v>0</v>
      </c>
      <c r="N66" s="42">
        <f>SUM('Rate Base'!O51:O52)</f>
        <v>0</v>
      </c>
      <c r="O66" s="42">
        <f>SUM('Rate Base'!P51:P52)</f>
        <v>0</v>
      </c>
      <c r="P66" s="42">
        <f>SUM('Rate Base'!Q51:Q52)</f>
        <v>0</v>
      </c>
      <c r="Q66" s="42">
        <f>SUM('Rate Base'!R51:R52)</f>
        <v>0</v>
      </c>
      <c r="X66" s="14">
        <v>189031794.26238751</v>
      </c>
      <c r="Y66" s="96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2">
        <f>'Rate Base'!G53</f>
        <v>133743709.16973646</v>
      </c>
      <c r="G67" s="42">
        <f>'Rate Base'!H53</f>
        <v>37539912.318899311</v>
      </c>
      <c r="H67" s="42">
        <f>'Rate Base'!I53</f>
        <v>11094399.206289688</v>
      </c>
      <c r="I67" s="42">
        <f>'Rate Base'!J53</f>
        <v>1246915.3080466578</v>
      </c>
      <c r="J67" s="42">
        <f>'Rate Base'!K53</f>
        <v>14935303.536787456</v>
      </c>
      <c r="K67" s="42">
        <f>'Rate Base'!L53</f>
        <v>48424.959903730029</v>
      </c>
      <c r="L67" s="42">
        <f>'Rate Base'!M53</f>
        <v>4826816.6046611229</v>
      </c>
      <c r="M67" s="42">
        <f>'Rate Base'!N53</f>
        <v>976230.67360039195</v>
      </c>
      <c r="N67" s="42">
        <f>'Rate Base'!O53</f>
        <v>606236.92276222247</v>
      </c>
      <c r="O67" s="42">
        <f>'Rate Base'!P53</f>
        <v>976036.22035163466</v>
      </c>
      <c r="P67" s="42">
        <f>'Rate Base'!Q53</f>
        <v>0</v>
      </c>
      <c r="Q67" s="42">
        <f>'Rate Base'!R53</f>
        <v>10882.688961321393</v>
      </c>
      <c r="X67" s="14">
        <v>206004867.61000001</v>
      </c>
      <c r="Y67" s="96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si="2"/>
        <v>275723939.88874024</v>
      </c>
      <c r="F68" s="42">
        <f>Expenses!G29+Expenses!G39+Expenses!G52+Expenses!G60+Expenses!G71+Expenses!G97-Expenses!G64</f>
        <v>171619746.50447422</v>
      </c>
      <c r="G68" s="42">
        <f>Expenses!H29+Expenses!H39+Expenses!H52+Expenses!H60+Expenses!H71+Expenses!H97-Expenses!H64</f>
        <v>33817259.582570456</v>
      </c>
      <c r="H68" s="42">
        <f>Expenses!I29+Expenses!I39+Expenses!I52+Expenses!I60+Expenses!I71+Expenses!I97-Expenses!I64</f>
        <v>28336213.633174468</v>
      </c>
      <c r="I68" s="42">
        <f>Expenses!J29+Expenses!J39+Expenses!J52+Expenses!J60+Expenses!J71+Expenses!J97-Expenses!J64</f>
        <v>16770586.460706169</v>
      </c>
      <c r="J68" s="42">
        <f>Expenses!K29+Expenses!K39+Expenses!K52+Expenses!K60+Expenses!K71+Expenses!K97-Expenses!K64</f>
        <v>13102443.144208781</v>
      </c>
      <c r="K68" s="42">
        <f>Expenses!L29+Expenses!L39+Expenses!L52+Expenses!L60+Expenses!L71+Expenses!L97-Expenses!L64</f>
        <v>84075.928608698538</v>
      </c>
      <c r="L68" s="42">
        <f>Expenses!M29+Expenses!M39+Expenses!M52+Expenses!M60+Expenses!M71+Expenses!M97-Expenses!M64</f>
        <v>1693657.8218875164</v>
      </c>
      <c r="M68" s="42">
        <f>Expenses!N29+Expenses!N39+Expenses!N52+Expenses!N60+Expenses!N71+Expenses!N97-Expenses!N64</f>
        <v>897687.70375865162</v>
      </c>
      <c r="N68" s="42">
        <f>Expenses!O29+Expenses!O39+Expenses!O52+Expenses!O60+Expenses!O71+Expenses!O97-Expenses!O64</f>
        <v>4323973.2936623413</v>
      </c>
      <c r="O68" s="42">
        <f>Expenses!P29+Expenses!P39+Expenses!P52+Expenses!P60+Expenses!P71+Expenses!P97-Expenses!P64</f>
        <v>1929278.1715501044</v>
      </c>
      <c r="P68" s="42">
        <f>Expenses!Q29+Expenses!Q39+Expenses!Q52+Expenses!Q60+Expenses!Q71+Expenses!Q97-Expenses!Q64</f>
        <v>3068027.1888502175</v>
      </c>
      <c r="Q68" s="42">
        <f>Expenses!R29+Expenses!R39+Expenses!R52+Expenses!R60+Expenses!R71+Expenses!R97-Expenses!R64</f>
        <v>80990.45528857407</v>
      </c>
      <c r="X68" s="14">
        <v>275723939.88874024</v>
      </c>
      <c r="Y68" s="96">
        <f t="shared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60">
        <f>Expenses!G60</f>
        <v>45306511.382084087</v>
      </c>
      <c r="G69" s="42">
        <f>Expenses!H60</f>
        <v>4745940.4466039781</v>
      </c>
      <c r="H69" s="42">
        <f>Expenses!I60</f>
        <v>477500.29486942687</v>
      </c>
      <c r="I69" s="42">
        <f>Expenses!J60</f>
        <v>506672.61410894763</v>
      </c>
      <c r="J69" s="42">
        <f>Expenses!K60</f>
        <v>547641.61910462333</v>
      </c>
      <c r="K69" s="42">
        <f>Expenses!L60</f>
        <v>46.229974015084736</v>
      </c>
      <c r="L69" s="42">
        <f>Expenses!M60</f>
        <v>15327.650120671631</v>
      </c>
      <c r="M69" s="42">
        <f>Expenses!N60</f>
        <v>62194.004899910084</v>
      </c>
      <c r="N69" s="42">
        <f>Expenses!O60</f>
        <v>99206.928085480482</v>
      </c>
      <c r="O69" s="42">
        <f>Expenses!P60</f>
        <v>177139.9076600589</v>
      </c>
      <c r="P69" s="42">
        <f>Expenses!Q60</f>
        <v>149266.14185084932</v>
      </c>
      <c r="Q69" s="42">
        <f>Expenses!R60</f>
        <v>98.000340105873661</v>
      </c>
      <c r="X69" s="15">
        <v>52087545.219702169</v>
      </c>
      <c r="Y69" s="96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2">
        <f>SUM(Expenses!G56:G59)</f>
        <v>45189415.25451003</v>
      </c>
      <c r="G70" s="42">
        <f>SUM(Expenses!H56:H59)</f>
        <v>4733674.4117440479</v>
      </c>
      <c r="H70" s="42">
        <f>SUM(Expenses!I56:I59)</f>
        <v>476266.18008682656</v>
      </c>
      <c r="I70" s="42">
        <f>SUM(Expenses!J56:J59)</f>
        <v>505363.10253433883</v>
      </c>
      <c r="J70" s="42">
        <f>SUM(Expenses!K56:K59)</f>
        <v>546226.22182641004</v>
      </c>
      <c r="K70" s="42">
        <f>SUM(Expenses!L56:L59)</f>
        <v>46.11049116880325</v>
      </c>
      <c r="L70" s="42">
        <f>SUM(Expenses!M56:M59)</f>
        <v>15288.035318754872</v>
      </c>
      <c r="M70" s="42">
        <f>SUM(Expenses!N56:N59)</f>
        <v>62033.262505275357</v>
      </c>
      <c r="N70" s="42">
        <f>SUM(Expenses!O56:O59)</f>
        <v>98950.524607195432</v>
      </c>
      <c r="O70" s="42">
        <f>SUM(Expenses!P56:P59)</f>
        <v>176682.08390375835</v>
      </c>
      <c r="P70" s="42">
        <f>SUM(Expenses!Q56:Q59)</f>
        <v>148880.35873368868</v>
      </c>
      <c r="Q70" s="42">
        <f>SUM(Expenses!R56:R59)</f>
        <v>97.747055092808708</v>
      </c>
      <c r="X70" s="14">
        <v>51952923.293316603</v>
      </c>
      <c r="Y70" s="96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8">
        <f>SUM(Expenses!G42:G49)</f>
        <v>11220283.848073497</v>
      </c>
      <c r="G71" s="68">
        <f>SUM(Expenses!H42:H49)</f>
        <v>2496528.3924954399</v>
      </c>
      <c r="H71" s="68">
        <f>SUM(Expenses!I42:I49)</f>
        <v>1587374.3055400522</v>
      </c>
      <c r="I71" s="68">
        <f>SUM(Expenses!J42:J49)</f>
        <v>598509.10487286421</v>
      </c>
      <c r="J71" s="68">
        <f>SUM(Expenses!K42:K49)</f>
        <v>911370.15551282873</v>
      </c>
      <c r="K71" s="68">
        <f>SUM(Expenses!L42:L49)</f>
        <v>7260.6252010578883</v>
      </c>
      <c r="L71" s="68">
        <f>SUM(Expenses!M42:M49)</f>
        <v>255111.94290563918</v>
      </c>
      <c r="M71" s="68">
        <f>SUM(Expenses!N42:N49)</f>
        <v>176922.22659951451</v>
      </c>
      <c r="N71" s="68">
        <f>SUM(Expenses!O42:O49)</f>
        <v>94232.225980744683</v>
      </c>
      <c r="O71" s="68">
        <f>SUM(Expenses!P42:P49)</f>
        <v>54333.014710852876</v>
      </c>
      <c r="P71" s="68">
        <f>SUM(Expenses!Q42:Q49)</f>
        <v>182299.36019465915</v>
      </c>
      <c r="Q71" s="68">
        <f>SUM(Expenses!R42:R49)</f>
        <v>4673.2696449034402</v>
      </c>
      <c r="X71" s="15">
        <v>17588898.471732054</v>
      </c>
      <c r="Y71" s="96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2">
        <f>SUM(Expenses!G89:G95)</f>
        <v>34107659.296661749</v>
      </c>
      <c r="G72" s="42">
        <f>SUM(Expenses!H89:H95)</f>
        <v>6272104.2311971216</v>
      </c>
      <c r="H72" s="42">
        <f>SUM(Expenses!I89:I95)</f>
        <v>5108252.3777034897</v>
      </c>
      <c r="I72" s="42">
        <f>SUM(Expenses!J89:J95)</f>
        <v>2092347.205768083</v>
      </c>
      <c r="J72" s="42">
        <f>SUM(Expenses!K89:K95)</f>
        <v>1859039.8546213189</v>
      </c>
      <c r="K72" s="42">
        <f>SUM(Expenses!L89:L95)</f>
        <v>37992.380020267949</v>
      </c>
      <c r="L72" s="42">
        <f>SUM(Expenses!M89:M95)</f>
        <v>504590.41877694597</v>
      </c>
      <c r="M72" s="42">
        <f>SUM(Expenses!N89:N95)</f>
        <v>220503.34926750217</v>
      </c>
      <c r="N72" s="42">
        <f>SUM(Expenses!O89:O95)</f>
        <v>81137.638201323629</v>
      </c>
      <c r="O72" s="42">
        <f>SUM(Expenses!P89:P95)</f>
        <v>19850.810197784052</v>
      </c>
      <c r="P72" s="42">
        <f>SUM(Expenses!Q89:Q95)</f>
        <v>2036379.9252015369</v>
      </c>
      <c r="Q72" s="42">
        <f>SUM(Expenses!R89:R95)</f>
        <v>28463.194942575537</v>
      </c>
      <c r="X72" s="14">
        <v>52368320.682559699</v>
      </c>
      <c r="Y72" s="96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100" si="4">D72+1</f>
        <v>67</v>
      </c>
      <c r="E73" s="14">
        <f t="shared" si="2"/>
        <v>14513729.030945668</v>
      </c>
      <c r="F73" s="42">
        <f>SUM(Expenses!G43:G48)</f>
        <v>9258576.3504722044</v>
      </c>
      <c r="G73" s="42">
        <f>SUM(Expenses!H43:H48)</f>
        <v>2060045.8104283477</v>
      </c>
      <c r="H73" s="42">
        <f>SUM(Expenses!I43:I48)</f>
        <v>1309844.421372975</v>
      </c>
      <c r="I73" s="42">
        <f>SUM(Expenses!J43:J48)</f>
        <v>493868.27632436663</v>
      </c>
      <c r="J73" s="42">
        <f>SUM(Expenses!K43:K48)</f>
        <v>752030.00945524557</v>
      </c>
      <c r="K73" s="42">
        <f>SUM(Expenses!L43:L48)</f>
        <v>5991.2078594784516</v>
      </c>
      <c r="L73" s="42">
        <f>SUM(Expenses!M43:M48)</f>
        <v>210509.23784915768</v>
      </c>
      <c r="M73" s="42">
        <f>SUM(Expenses!N43:N48)</f>
        <v>145989.88450264555</v>
      </c>
      <c r="N73" s="42">
        <f>SUM(Expenses!O43:O48)</f>
        <v>77757.057729646855</v>
      </c>
      <c r="O73" s="42">
        <f>SUM(Expenses!P43:P48)</f>
        <v>44833.65767418914</v>
      </c>
      <c r="P73" s="42">
        <f>SUM(Expenses!Q43:Q48)</f>
        <v>150426.90255062334</v>
      </c>
      <c r="Q73" s="42">
        <f>SUM(Expenses!R43:R48)</f>
        <v>3856.2147267880064</v>
      </c>
      <c r="X73" s="15">
        <v>14513729.03094567</v>
      </c>
      <c r="Y73" s="96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2">
        <f>'Rate Base'!G56</f>
        <v>2719010911.8526211</v>
      </c>
      <c r="G74" s="42">
        <f>'Rate Base'!H56</f>
        <v>484732400.36369371</v>
      </c>
      <c r="H74" s="42">
        <f>'Rate Base'!I56</f>
        <v>384848541.8545351</v>
      </c>
      <c r="I74" s="42">
        <f>'Rate Base'!J56</f>
        <v>163880467.67138571</v>
      </c>
      <c r="J74" s="42">
        <f>'Rate Base'!K56</f>
        <v>144410351.02438688</v>
      </c>
      <c r="K74" s="42">
        <f>'Rate Base'!L56</f>
        <v>1646782.449539193</v>
      </c>
      <c r="L74" s="42">
        <f>'Rate Base'!M56</f>
        <v>35723443.930601932</v>
      </c>
      <c r="M74" s="42">
        <f>'Rate Base'!N56</f>
        <v>49168400.068016969</v>
      </c>
      <c r="N74" s="42">
        <f>'Rate Base'!O56</f>
        <v>18738235.52942922</v>
      </c>
      <c r="O74" s="42">
        <f>'Rate Base'!P56</f>
        <v>6474141.7221868522</v>
      </c>
      <c r="P74" s="42">
        <f>'Rate Base'!Q56</f>
        <v>79388111.802415997</v>
      </c>
      <c r="Q74" s="42">
        <f>'Rate Base'!R56</f>
        <v>1254815.6250899525</v>
      </c>
      <c r="X74" s="14">
        <v>4089276603.8939033</v>
      </c>
      <c r="Y74" s="96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10754417110.815203</v>
      </c>
      <c r="F75" s="42">
        <f>'Rate Base'!G72</f>
        <v>6145016814.5199232</v>
      </c>
      <c r="G75" s="42">
        <f>'Rate Base'!H72</f>
        <v>1348996526.1802979</v>
      </c>
      <c r="H75" s="42">
        <f>'Rate Base'!I72</f>
        <v>1325839652.8774016</v>
      </c>
      <c r="I75" s="42">
        <f>'Rate Base'!J72</f>
        <v>777245147.16575468</v>
      </c>
      <c r="J75" s="42">
        <f>'Rate Base'!K72</f>
        <v>570470020.94245446</v>
      </c>
      <c r="K75" s="42">
        <f>'Rate Base'!L72</f>
        <v>3256672.1528040897</v>
      </c>
      <c r="L75" s="42">
        <f>'Rate Base'!M72</f>
        <v>70961462.00032407</v>
      </c>
      <c r="M75" s="42">
        <f>'Rate Base'!N72</f>
        <v>73322258.043402135</v>
      </c>
      <c r="N75" s="42">
        <f>'Rate Base'!O72</f>
        <v>202554572.78671095</v>
      </c>
      <c r="O75" s="42">
        <f>'Rate Base'!P72</f>
        <v>120156503.04788588</v>
      </c>
      <c r="P75" s="42">
        <f>'Rate Base'!Q72</f>
        <v>113229199.63347158</v>
      </c>
      <c r="Q75" s="42">
        <f>'Rate Base'!R72</f>
        <v>3368281.4647714109</v>
      </c>
      <c r="X75" s="15">
        <v>10754417110.815205</v>
      </c>
      <c r="Y75" s="96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540077856.36380005</v>
      </c>
      <c r="F76" s="42">
        <f>'Rate Base'!G70</f>
        <v>324301622.82914978</v>
      </c>
      <c r="G76" s="42">
        <f>'Rate Base'!H70</f>
        <v>65698504.94960165</v>
      </c>
      <c r="H76" s="42">
        <f>'Rate Base'!I70</f>
        <v>59976344.302667275</v>
      </c>
      <c r="I76" s="42">
        <f>'Rate Base'!J70</f>
        <v>35278420.123320669</v>
      </c>
      <c r="J76" s="42">
        <f>'Rate Base'!K70</f>
        <v>26083720.900018636</v>
      </c>
      <c r="K76" s="42">
        <f>'Rate Base'!L70</f>
        <v>147165.20928434638</v>
      </c>
      <c r="L76" s="42">
        <f>'Rate Base'!M70</f>
        <v>3216990.2272963701</v>
      </c>
      <c r="M76" s="42">
        <f>'Rate Base'!N70</f>
        <v>3332556.7515165643</v>
      </c>
      <c r="N76" s="42">
        <f>'Rate Base'!O70</f>
        <v>9132433.1538225338</v>
      </c>
      <c r="O76" s="42">
        <f>'Rate Base'!P70</f>
        <v>5230639.1630431684</v>
      </c>
      <c r="P76" s="42">
        <f>'Rate Base'!Q70</f>
        <v>7527896.1013569245</v>
      </c>
      <c r="Q76" s="42">
        <f>'Rate Base'!R70</f>
        <v>151562.65272209459</v>
      </c>
      <c r="X76" s="14">
        <v>540077856.36379993</v>
      </c>
      <c r="Y76" s="96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2">
        <f>SUM('Rate Base'!G42:G47)</f>
        <v>1729126423.3538733</v>
      </c>
      <c r="G77" s="42">
        <f>SUM('Rate Base'!H42:H47)</f>
        <v>310745044.77626508</v>
      </c>
      <c r="H77" s="42">
        <f>SUM('Rate Base'!I42:I47)</f>
        <v>273419888.09957683</v>
      </c>
      <c r="I77" s="42">
        <f>SUM('Rate Base'!J42:J47)</f>
        <v>115521496.86303118</v>
      </c>
      <c r="J77" s="42">
        <f>SUM('Rate Base'!K42:K47)</f>
        <v>89683686.564590067</v>
      </c>
      <c r="K77" s="42">
        <f>SUM('Rate Base'!L42:L47)</f>
        <v>1468229.3879011672</v>
      </c>
      <c r="L77" s="42">
        <f>SUM('Rate Base'!M42:M47)</f>
        <v>26642823.532321468</v>
      </c>
      <c r="M77" s="42">
        <f>SUM('Rate Base'!N42:N47)</f>
        <v>23173420.88689227</v>
      </c>
      <c r="N77" s="42">
        <f>SUM('Rate Base'!O42:O47)</f>
        <v>5608088.4825534066</v>
      </c>
      <c r="O77" s="42">
        <f>SUM('Rate Base'!P42:P47)</f>
        <v>33701.416388018217</v>
      </c>
      <c r="P77" s="42">
        <f>SUM('Rate Base'!Q42:Q47)</f>
        <v>1297479.3636722437</v>
      </c>
      <c r="Q77" s="42">
        <f>SUM('Rate Base'!R42:R47)</f>
        <v>1049214.8000838042</v>
      </c>
      <c r="X77" s="15">
        <v>2577769497.5271487</v>
      </c>
      <c r="Y77" s="96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873670533.75404716</v>
      </c>
      <c r="F78" s="42">
        <f>Expenses!G17+Expenses!G22+Expenses!G26+Expenses!G29+Expenses!G39</f>
        <v>442502759.83298165</v>
      </c>
      <c r="G78" s="42">
        <f>Expenses!H17+Expenses!H22+Expenses!H26+Expenses!H29+Expenses!H39</f>
        <v>117145765.29254755</v>
      </c>
      <c r="H78" s="42">
        <f>Expenses!I17+Expenses!I22+Expenses!I26+Expenses!I29+Expenses!I39</f>
        <v>130866940.74590591</v>
      </c>
      <c r="I78" s="42">
        <f>Expenses!J17+Expenses!J22+Expenses!J26+Expenses!J29+Expenses!J39</f>
        <v>86907674.458304524</v>
      </c>
      <c r="J78" s="42">
        <f>Expenses!K17+Expenses!K22+Expenses!K26+Expenses!K29+Expenses!K39</f>
        <v>59615535.039496824</v>
      </c>
      <c r="K78" s="42">
        <f>Expenses!L17+Expenses!L22+Expenses!L26+Expenses!L29+Expenses!L39</f>
        <v>225839.22774430882</v>
      </c>
      <c r="L78" s="42">
        <f>Expenses!M17+Expenses!M22+Expenses!M26+Expenses!M29+Expenses!M39</f>
        <v>4546540.0907267164</v>
      </c>
      <c r="M78" s="42">
        <f>Expenses!N17+Expenses!N22+Expenses!N26+Expenses!N29+Expenses!N39</f>
        <v>283885.52368308196</v>
      </c>
      <c r="N78" s="42">
        <f>Expenses!O17+Expenses!O22+Expenses!O26+Expenses!O29+Expenses!O39</f>
        <v>26366982.880299233</v>
      </c>
      <c r="O78" s="42">
        <f>Expenses!P17+Expenses!P22+Expenses!P26+Expenses!P29+Expenses!P39</f>
        <v>1631142.2402615214</v>
      </c>
      <c r="P78" s="42">
        <f>Expenses!Q17+Expenses!Q22+Expenses!Q26+Expenses!Q29+Expenses!Q39</f>
        <v>3297349.1883057146</v>
      </c>
      <c r="Q78" s="42">
        <f>Expenses!R17+Expenses!R22+Expenses!R26+Expenses!R29+Expenses!R39</f>
        <v>280119.23379019386</v>
      </c>
      <c r="X78" s="14">
        <v>873670533.75404704</v>
      </c>
      <c r="Y78" s="96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2">
        <f>'Rate Base'!G21</f>
        <v>2086505398.6738062</v>
      </c>
      <c r="G79" s="42">
        <f>'Rate Base'!H21</f>
        <v>549617087.61477077</v>
      </c>
      <c r="H79" s="42">
        <f>'Rate Base'!I21</f>
        <v>613060358.33530927</v>
      </c>
      <c r="I79" s="42">
        <f>'Rate Base'!J21</f>
        <v>406169920.46392667</v>
      </c>
      <c r="J79" s="42">
        <f>'Rate Base'!K21</f>
        <v>279528934.26774305</v>
      </c>
      <c r="K79" s="42">
        <f>'Rate Base'!L21</f>
        <v>1019166.3582874099</v>
      </c>
      <c r="L79" s="42">
        <f>'Rate Base'!M21</f>
        <v>21418079.942833245</v>
      </c>
      <c r="M79" s="42">
        <f>'Rate Base'!N21</f>
        <v>0</v>
      </c>
      <c r="N79" s="42">
        <f>'Rate Base'!O21</f>
        <v>123612163.19017449</v>
      </c>
      <c r="O79" s="42">
        <f>'Rate Base'!P21</f>
        <v>0</v>
      </c>
      <c r="P79" s="42">
        <f>'Rate Base'!Q21</f>
        <v>15562315.715932028</v>
      </c>
      <c r="Q79" s="42">
        <f>'Rate Base'!R21</f>
        <v>1341575.4372174954</v>
      </c>
      <c r="X79" s="15">
        <v>4097835000</v>
      </c>
      <c r="Y79" s="96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2">
        <f>'Rate Base'!G21+'Rate Base'!G32+'Rate Base'!G56+'Rate Base'!G70</f>
        <v>5889278791.4963713</v>
      </c>
      <c r="G80" s="42">
        <f>'Rate Base'!H21+'Rate Base'!H32+'Rate Base'!H56+'Rate Base'!H70</f>
        <v>1295567119.0658026</v>
      </c>
      <c r="H80" s="42">
        <f>'Rate Base'!I21+'Rate Base'!I32+'Rate Base'!I56+'Rate Base'!I70</f>
        <v>1275638704.4066584</v>
      </c>
      <c r="I80" s="42">
        <f>'Rate Base'!J21+'Rate Base'!J32+'Rate Base'!J56+'Rate Base'!J70</f>
        <v>747596045.55630219</v>
      </c>
      <c r="J80" s="42">
        <f>'Rate Base'!K21+'Rate Base'!K32+'Rate Base'!K56+'Rate Base'!K70</f>
        <v>548665995.15326476</v>
      </c>
      <c r="K80" s="42">
        <f>'Rate Base'!L21+'Rate Base'!L32+'Rate Base'!L56+'Rate Base'!L70</f>
        <v>3134335.0934847072</v>
      </c>
      <c r="L80" s="42">
        <f>'Rate Base'!M21+'Rate Base'!M32+'Rate Base'!M56+'Rate Base'!M70</f>
        <v>68306800.896300122</v>
      </c>
      <c r="M80" s="42">
        <f>'Rate Base'!N21+'Rate Base'!N32+'Rate Base'!N56+'Rate Base'!N70</f>
        <v>70848344.302556828</v>
      </c>
      <c r="N80" s="42">
        <f>'Rate Base'!O21+'Rate Base'!O32+'Rate Base'!O56+'Rate Base'!O70</f>
        <v>194810945.02272254</v>
      </c>
      <c r="O80" s="42">
        <f>'Rate Base'!P21+'Rate Base'!P32+'Rate Base'!P56+'Rate Base'!P70</f>
        <v>117114832.25349526</v>
      </c>
      <c r="P80" s="42">
        <f>'Rate Base'!Q21+'Rate Base'!Q32+'Rate Base'!Q56+'Rate Base'!Q70</f>
        <v>107722672.43308726</v>
      </c>
      <c r="Q80" s="42">
        <f>'Rate Base'!R21+'Rate Base'!R32+'Rate Base'!R56+'Rate Base'!R70</f>
        <v>3242001.0977550619</v>
      </c>
      <c r="X80" s="14">
        <v>10321926586.777798</v>
      </c>
      <c r="Y80" s="96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9781848730.4140015</v>
      </c>
      <c r="F81" s="42">
        <f>'Rate Base'!G21+'Rate Base'!G32+'Rate Base'!G56</f>
        <v>5564977168.6672211</v>
      </c>
      <c r="G81" s="42">
        <f>'Rate Base'!H21+'Rate Base'!H32+'Rate Base'!H56</f>
        <v>1229868614.1162009</v>
      </c>
      <c r="H81" s="42">
        <f>'Rate Base'!I21+'Rate Base'!I32+'Rate Base'!I56</f>
        <v>1215662360.103991</v>
      </c>
      <c r="I81" s="42">
        <f>'Rate Base'!J21+'Rate Base'!J32+'Rate Base'!J56</f>
        <v>712317625.43298149</v>
      </c>
      <c r="J81" s="42">
        <f>'Rate Base'!K21+'Rate Base'!K32+'Rate Base'!K56</f>
        <v>522582274.25324613</v>
      </c>
      <c r="K81" s="42">
        <f>'Rate Base'!L21+'Rate Base'!L32+'Rate Base'!L56</f>
        <v>2987169.8842003606</v>
      </c>
      <c r="L81" s="42">
        <f>'Rate Base'!M21+'Rate Base'!M32+'Rate Base'!M56</f>
        <v>65089810.669003755</v>
      </c>
      <c r="M81" s="42">
        <f>'Rate Base'!N21+'Rate Base'!N32+'Rate Base'!N56</f>
        <v>67515787.551040262</v>
      </c>
      <c r="N81" s="42">
        <f>'Rate Base'!O21+'Rate Base'!O32+'Rate Base'!O56</f>
        <v>185678511.8689</v>
      </c>
      <c r="O81" s="42">
        <f>'Rate Base'!P21+'Rate Base'!P32+'Rate Base'!P56</f>
        <v>111884193.09045209</v>
      </c>
      <c r="P81" s="42">
        <f>'Rate Base'!Q21+'Rate Base'!Q32+'Rate Base'!Q56</f>
        <v>100194776.33173034</v>
      </c>
      <c r="Q81" s="42">
        <f>'Rate Base'!R21+'Rate Base'!R32+'Rate Base'!R56</f>
        <v>3090438.4450329673</v>
      </c>
      <c r="X81" s="15">
        <v>9781848730.4139977</v>
      </c>
      <c r="Y81" s="96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5428588079.6691418</v>
      </c>
      <c r="F82" s="42">
        <f>'Rate Base'!G156</f>
        <v>3087280299.461628</v>
      </c>
      <c r="G82" s="42">
        <f>'Rate Base'!H156</f>
        <v>654538560.78581882</v>
      </c>
      <c r="H82" s="42">
        <f>'Rate Base'!I156</f>
        <v>679956411.12170279</v>
      </c>
      <c r="I82" s="42">
        <f>'Rate Base'!J156</f>
        <v>397519492.59017634</v>
      </c>
      <c r="J82" s="42">
        <f>'Rate Base'!K156</f>
        <v>297199081.82761019</v>
      </c>
      <c r="K82" s="42">
        <f>'Rate Base'!L156</f>
        <v>1665351.7768697233</v>
      </c>
      <c r="L82" s="42">
        <f>'Rate Base'!M156</f>
        <v>37888149.050250292</v>
      </c>
      <c r="M82" s="42">
        <f>'Rate Base'!N156</f>
        <v>38802817.425270468</v>
      </c>
      <c r="N82" s="42">
        <f>'Rate Base'!O156</f>
        <v>103084509.00265945</v>
      </c>
      <c r="O82" s="42">
        <f>'Rate Base'!P156</f>
        <v>69752605.393443108</v>
      </c>
      <c r="P82" s="42">
        <f>'Rate Base'!Q156</f>
        <v>59112435.668544054</v>
      </c>
      <c r="Q82" s="42">
        <f>'Rate Base'!R156</f>
        <v>1788365.5651682976</v>
      </c>
      <c r="X82" s="14">
        <v>5428588079.6691408</v>
      </c>
      <c r="Y82" s="96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si="2"/>
        <v>2053872812.840647</v>
      </c>
      <c r="F83" s="42">
        <f>Expenses!G105+Expenses!G151+('Rate Base'!G156*0.0762)</f>
        <v>1147628273.295675</v>
      </c>
      <c r="G83" s="42">
        <f>Expenses!H105+Expenses!H151+('Rate Base'!H156*0.0762)</f>
        <v>261643979.42296168</v>
      </c>
      <c r="H83" s="42">
        <f>Expenses!I105+Expenses!I151+('Rate Base'!I156*0.0762)</f>
        <v>264864044.82342714</v>
      </c>
      <c r="I83" s="42">
        <f>Expenses!J105+Expenses!J151+('Rate Base'!J156*0.0762)</f>
        <v>164054189.45681733</v>
      </c>
      <c r="J83" s="42">
        <f>Expenses!K105+Expenses!K151+('Rate Base'!K156*0.0762)</f>
        <v>118737518.39811292</v>
      </c>
      <c r="K83" s="42">
        <f>Expenses!L105+Expenses!L151+('Rate Base'!L156*0.0762)</f>
        <v>586300.72703097656</v>
      </c>
      <c r="L83" s="42">
        <f>Expenses!M105+Expenses!M151+('Rate Base'!M156*0.0762)</f>
        <v>12542351.08011774</v>
      </c>
      <c r="M83" s="42">
        <f>Expenses!N105+Expenses!N151+('Rate Base'!N156*0.0762)</f>
        <v>6521579.2012385577</v>
      </c>
      <c r="N83" s="42">
        <f>Expenses!O105+Expenses!O151+('Rate Base'!O156*0.0762)</f>
        <v>45711726.03071022</v>
      </c>
      <c r="O83" s="42">
        <f>Expenses!P105+Expenses!P151+('Rate Base'!P156*0.0762)</f>
        <v>12628052.76197404</v>
      </c>
      <c r="P83" s="42">
        <f>Expenses!Q105+Expenses!Q151+('Rate Base'!Q156*0.0762)</f>
        <v>18311521.920974921</v>
      </c>
      <c r="Q83" s="42">
        <f>Expenses!R105+Expenses!R151+('Rate Base'!R156*0.0762)</f>
        <v>643275.72160596971</v>
      </c>
      <c r="X83" s="15">
        <v>2053872812.8406465</v>
      </c>
      <c r="Y83" s="96">
        <f t="shared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108304747.09407416</v>
      </c>
      <c r="F84" s="42">
        <f>Labor!G41</f>
        <v>65205999.583900854</v>
      </c>
      <c r="G84" s="42">
        <f>Labor!H41</f>
        <v>13150627.980724134</v>
      </c>
      <c r="H84" s="42">
        <f>Labor!I41</f>
        <v>11951792.395409945</v>
      </c>
      <c r="I84" s="42">
        <f>Labor!J41</f>
        <v>7032917.2104025139</v>
      </c>
      <c r="J84" s="42">
        <f>Labor!K41</f>
        <v>5201874.0177469887</v>
      </c>
      <c r="K84" s="42">
        <f>Labor!L41</f>
        <v>29306.535399104287</v>
      </c>
      <c r="L84" s="42">
        <f>Labor!M41</f>
        <v>640837.17518853967</v>
      </c>
      <c r="M84" s="42">
        <f>Labor!N41</f>
        <v>664658.63108758093</v>
      </c>
      <c r="N84" s="42">
        <f>Labor!O41</f>
        <v>1820333.9843621233</v>
      </c>
      <c r="O84" s="42">
        <f>Labor!P41</f>
        <v>1045948.3769232711</v>
      </c>
      <c r="P84" s="42">
        <f>Labor!Q41</f>
        <v>1530264.2369197083</v>
      </c>
      <c r="Q84" s="42">
        <f>Labor!R41</f>
        <v>30186.966009385025</v>
      </c>
      <c r="X84" s="14">
        <v>108304747.09407416</v>
      </c>
      <c r="Y84" s="96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66206134.044743791</v>
      </c>
      <c r="F85" s="42">
        <f>Labor!G13+Labor!G17+Labor!G21</f>
        <v>37802863.1778038</v>
      </c>
      <c r="G85" s="42">
        <f>Labor!H13+Labor!H17+Labor!H21</f>
        <v>8329109.0136265736</v>
      </c>
      <c r="H85" s="42">
        <f>Labor!I13+Labor!I17+Labor!I21</f>
        <v>8210359.0023973174</v>
      </c>
      <c r="I85" s="42">
        <f>Labor!J13+Labor!J17+Labor!J21</f>
        <v>4797403.9050852256</v>
      </c>
      <c r="J85" s="42">
        <f>Labor!K13+Labor!K17+Labor!K21</f>
        <v>3524804.3048206312</v>
      </c>
      <c r="K85" s="42">
        <f>Labor!L13+Labor!L17+Labor!L21</f>
        <v>20372.712404247366</v>
      </c>
      <c r="L85" s="42">
        <f>Labor!M13+Labor!M17+Labor!M21</f>
        <v>443011.92506724561</v>
      </c>
      <c r="M85" s="42">
        <f>Labor!N13+Labor!N17+Labor!N21</f>
        <v>449759.63664857356</v>
      </c>
      <c r="N85" s="42">
        <f>Labor!O13+Labor!O17+Labor!O21</f>
        <v>1244784.0323253307</v>
      </c>
      <c r="O85" s="42">
        <f>Labor!P13+Labor!P17+Labor!P21</f>
        <v>674341.29202159459</v>
      </c>
      <c r="P85" s="42">
        <f>Labor!Q13+Labor!Q17+Labor!Q21</f>
        <v>688398.44803989131</v>
      </c>
      <c r="Q85" s="42">
        <f>Labor!R13+Labor!R17+Labor!R21</f>
        <v>20926.594503369015</v>
      </c>
      <c r="X85" s="15">
        <v>66206134.044743814</v>
      </c>
      <c r="Y85" s="96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5684013730.4140005</v>
      </c>
      <c r="F86" s="42">
        <f>'Rate Base'!G32+'Rate Base'!G56</f>
        <v>3478471769.9934149</v>
      </c>
      <c r="G86" s="42">
        <f>'Rate Base'!H32+'Rate Base'!H56</f>
        <v>680251526.50143015</v>
      </c>
      <c r="H86" s="42">
        <f>'Rate Base'!I32+'Rate Base'!I56</f>
        <v>602602001.76868188</v>
      </c>
      <c r="I86" s="42">
        <f>'Rate Base'!J32+'Rate Base'!J56</f>
        <v>306147704.96905482</v>
      </c>
      <c r="J86" s="42">
        <f>'Rate Base'!K32+'Rate Base'!K56</f>
        <v>243053339.98550308</v>
      </c>
      <c r="K86" s="42">
        <f>'Rate Base'!L32+'Rate Base'!L56</f>
        <v>1968003.5259129507</v>
      </c>
      <c r="L86" s="42">
        <f>'Rate Base'!M32+'Rate Base'!M56</f>
        <v>43671730.72617051</v>
      </c>
      <c r="M86" s="42">
        <f>'Rate Base'!N32+'Rate Base'!N56</f>
        <v>67515787.551040262</v>
      </c>
      <c r="N86" s="42">
        <f>'Rate Base'!O32+'Rate Base'!O56</f>
        <v>62066348.678725503</v>
      </c>
      <c r="O86" s="42">
        <f>'Rate Base'!P32+'Rate Base'!P56</f>
        <v>111884193.09045209</v>
      </c>
      <c r="P86" s="42">
        <f>'Rate Base'!Q32+'Rate Base'!Q56</f>
        <v>84632460.615798309</v>
      </c>
      <c r="Q86" s="42">
        <f>'Rate Base'!R32+'Rate Base'!R56</f>
        <v>1748863.0078154719</v>
      </c>
      <c r="X86" s="14">
        <v>5684013730.4139996</v>
      </c>
      <c r="Y86" s="96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2">
        <f>Expenses!G105+Expenses!G151+Expenses!G159</f>
        <v>960603437.92189622</v>
      </c>
      <c r="G87" s="42">
        <f>Expenses!H105+Expenses!H151+Expenses!H159</f>
        <v>223100509.65052867</v>
      </c>
      <c r="H87" s="42">
        <f>Expenses!I105+Expenses!I151+Expenses!I159</f>
        <v>224601708.65737736</v>
      </c>
      <c r="I87" s="42">
        <f>Expenses!J105+Expenses!J151+Expenses!J159</f>
        <v>140604985.98754361</v>
      </c>
      <c r="J87" s="42">
        <f>Expenses!K105+Expenses!K151+Expenses!K159</f>
        <v>100940215.44604158</v>
      </c>
      <c r="K87" s="42">
        <f>Expenses!L105+Expenses!L151+Expenses!L159</f>
        <v>472056.76723745756</v>
      </c>
      <c r="L87" s="42">
        <f>Expenses!M105+Expenses!M151+Expenses!M159</f>
        <v>10122580.036921345</v>
      </c>
      <c r="M87" s="42">
        <f>Expenses!N105+Expenses!N151+Expenses!N159</f>
        <v>3825310.7859480251</v>
      </c>
      <c r="N87" s="42">
        <f>Expenses!O105+Expenses!O151+Expenses!O159</f>
        <v>39577214.429566257</v>
      </c>
      <c r="O87" s="42">
        <f>Expenses!P105+Expenses!P151+Expenses!P159</f>
        <v>7780713.1772214603</v>
      </c>
      <c r="P87" s="42">
        <f>Expenses!Q105+Expenses!Q151+Expenses!Q159</f>
        <v>14559204.082728669</v>
      </c>
      <c r="Q87" s="42">
        <f>Expenses!R105+Expenses!R151+Expenses!R159</f>
        <v>522026.73179545306</v>
      </c>
      <c r="X87" s="15">
        <v>1726709963.6748061</v>
      </c>
      <c r="Y87" s="96">
        <f t="shared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</v>
      </c>
      <c r="F88" s="42">
        <f>'Rate Base'!G32</f>
        <v>759460858.14079368</v>
      </c>
      <c r="G88" s="42">
        <f>'Rate Base'!H32</f>
        <v>195519126.13773644</v>
      </c>
      <c r="H88" s="42">
        <f>'Rate Base'!I32</f>
        <v>217753459.91414675</v>
      </c>
      <c r="I88" s="42">
        <f>'Rate Base'!J32</f>
        <v>142267237.29766911</v>
      </c>
      <c r="J88" s="42">
        <f>'Rate Base'!K32</f>
        <v>98642988.96111618</v>
      </c>
      <c r="K88" s="42">
        <f>'Rate Base'!L32</f>
        <v>321221.07637375779</v>
      </c>
      <c r="L88" s="42">
        <f>'Rate Base'!M32</f>
        <v>7948286.7955685807</v>
      </c>
      <c r="M88" s="42">
        <f>'Rate Base'!N32</f>
        <v>18347387.48302329</v>
      </c>
      <c r="N88" s="42">
        <f>'Rate Base'!O32</f>
        <v>43328113.149296284</v>
      </c>
      <c r="O88" s="42">
        <f>'Rate Base'!P32</f>
        <v>105410051.36826524</v>
      </c>
      <c r="P88" s="42">
        <f>'Rate Base'!Q32</f>
        <v>5244348.8133823108</v>
      </c>
      <c r="Q88" s="42">
        <f>'Rate Base'!R32</f>
        <v>494047.38272551924</v>
      </c>
      <c r="X88" s="14">
        <v>1594737126.5200973</v>
      </c>
      <c r="Y88" s="96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959239340.65362859</v>
      </c>
      <c r="F89" s="42">
        <f>Expenses!G17+Expenses!G22+Expenses!G26+Expenses!G29+Expenses!G39+Expenses!G52+Expenses!G97</f>
        <v>497796869.80551827</v>
      </c>
      <c r="G89" s="42">
        <f>Expenses!H17+Expenses!H22+Expenses!H26+Expenses!H29+Expenses!H39+Expenses!H52+Expenses!H97</f>
        <v>128118269.89924413</v>
      </c>
      <c r="H89" s="42">
        <f>Expenses!I17+Expenses!I22+Expenses!I26+Expenses!I29+Expenses!I39+Expenses!I52+Expenses!I97</f>
        <v>138975441.96403706</v>
      </c>
      <c r="I89" s="42">
        <f>Expenses!J17+Expenses!J22+Expenses!J26+Expenses!J29+Expenses!J39+Expenses!J52+Expenses!J97</f>
        <v>90132965.179538399</v>
      </c>
      <c r="J89" s="42">
        <f>Expenses!K17+Expenses!K22+Expenses!K26+Expenses!K29+Expenses!K39+Expenses!K52+Expenses!K97</f>
        <v>63186027.871987276</v>
      </c>
      <c r="K89" s="42">
        <f>Expenses!L17+Expenses!L22+Expenses!L26+Expenses!L29+Expenses!L39+Expenses!L52+Expenses!L97</f>
        <v>277705.91162881174</v>
      </c>
      <c r="L89" s="42">
        <f>Expenses!M17+Expenses!M22+Expenses!M26+Expenses!M29+Expenses!M39+Expenses!M52+Expenses!M97</f>
        <v>5530039.4188685901</v>
      </c>
      <c r="M89" s="42">
        <f>Expenses!N17+Expenses!N22+Expenses!N26+Expenses!N29+Expenses!N39+Expenses!N52+Expenses!N97</f>
        <v>835178.0813942703</v>
      </c>
      <c r="N89" s="42">
        <f>Expenses!O17+Expenses!O22+Expenses!O26+Expenses!O29+Expenses!O39+Expenses!O52+Expenses!O97</f>
        <v>26623929.969809145</v>
      </c>
      <c r="O89" s="42">
        <f>Expenses!P17+Expenses!P22+Expenses!P26+Expenses!P29+Expenses!P39+Expenses!P52+Expenses!P97</f>
        <v>1752083.9641112117</v>
      </c>
      <c r="P89" s="42">
        <f>Expenses!Q17+Expenses!Q22+Expenses!Q26+Expenses!Q29+Expenses!Q39+Expenses!Q52+Expenses!Q97</f>
        <v>5693274.5741174603</v>
      </c>
      <c r="Q89" s="42">
        <f>Expenses!R17+Expenses!R22+Expenses!R26+Expenses!R29+Expenses!R39+Expenses!R52+Expenses!R97</f>
        <v>317554.01337397046</v>
      </c>
      <c r="X89" s="15">
        <v>959239340.65362847</v>
      </c>
      <c r="Y89" s="96">
        <f t="shared" si="3"/>
        <v>0</v>
      </c>
    </row>
    <row r="90" spans="2:25" x14ac:dyDescent="0.25">
      <c r="B90" s="6" t="s">
        <v>531</v>
      </c>
      <c r="C90" s="6" t="s">
        <v>14</v>
      </c>
      <c r="D90" s="6">
        <f t="shared" si="4"/>
        <v>84</v>
      </c>
      <c r="E90" s="14">
        <f t="shared" si="2"/>
        <v>1997002383.941232</v>
      </c>
      <c r="F90" s="13">
        <f>Revenue!G15</f>
        <v>1105896513.2900393</v>
      </c>
      <c r="G90" s="13">
        <f>Revenue!H15</f>
        <v>263390391.2140398</v>
      </c>
      <c r="H90" s="13">
        <f>Revenue!I15</f>
        <v>270703257.2199825</v>
      </c>
      <c r="I90" s="13">
        <f>Revenue!J15</f>
        <v>160280839.13024956</v>
      </c>
      <c r="J90" s="13">
        <f>Revenue!K15</f>
        <v>113255219.09203497</v>
      </c>
      <c r="K90" s="13">
        <f>Revenue!L15</f>
        <v>268014.00021779712</v>
      </c>
      <c r="L90" s="13">
        <f>Revenue!M15</f>
        <v>10687146.00868473</v>
      </c>
      <c r="M90" s="13">
        <f>Revenue!N15</f>
        <v>5493553</v>
      </c>
      <c r="N90" s="13">
        <f>Revenue!O15</f>
        <v>40128244.032609545</v>
      </c>
      <c r="O90" s="13">
        <f>Revenue!P15</f>
        <v>10117371.780000001</v>
      </c>
      <c r="P90" s="13">
        <f>Revenue!Q15</f>
        <v>16457494.013373908</v>
      </c>
      <c r="Q90" s="13">
        <f>Revenue!R15</f>
        <v>324341.16000000003</v>
      </c>
      <c r="Y90" s="96">
        <f t="shared" si="3"/>
        <v>0</v>
      </c>
    </row>
    <row r="91" spans="2:25" x14ac:dyDescent="0.25">
      <c r="B91" s="12"/>
      <c r="C91" s="6" t="s">
        <v>14</v>
      </c>
      <c r="D91" s="6">
        <f t="shared" si="4"/>
        <v>85</v>
      </c>
      <c r="E91" s="15">
        <v>0</v>
      </c>
      <c r="Y91" s="96">
        <f t="shared" si="3"/>
        <v>0</v>
      </c>
    </row>
    <row r="92" spans="2:25" x14ac:dyDescent="0.25">
      <c r="B92" s="6"/>
      <c r="C92" s="6" t="s">
        <v>14</v>
      </c>
      <c r="D92" s="6">
        <f t="shared" si="4"/>
        <v>86</v>
      </c>
      <c r="E92" s="14">
        <v>0</v>
      </c>
    </row>
    <row r="93" spans="2:25" x14ac:dyDescent="0.25">
      <c r="B93" s="12"/>
      <c r="C93" s="6" t="s">
        <v>14</v>
      </c>
      <c r="D93" s="6">
        <f t="shared" si="4"/>
        <v>87</v>
      </c>
      <c r="E93" s="15">
        <v>0</v>
      </c>
    </row>
    <row r="94" spans="2:25" x14ac:dyDescent="0.25">
      <c r="B94" s="6" t="s">
        <v>573</v>
      </c>
      <c r="C94" s="6" t="s">
        <v>14</v>
      </c>
      <c r="D94" s="6">
        <f t="shared" si="4"/>
        <v>88</v>
      </c>
      <c r="E94" s="14">
        <f t="shared" ref="E94:E100" si="5">SUM(F94:Q94)</f>
        <v>4098969806.0000067</v>
      </c>
      <c r="F94" s="42">
        <v>2087083210.8222847</v>
      </c>
      <c r="G94" s="42">
        <v>549769292.07608545</v>
      </c>
      <c r="H94" s="42">
        <v>613230132.02629614</v>
      </c>
      <c r="I94" s="42">
        <v>406282400.36191297</v>
      </c>
      <c r="J94" s="42">
        <v>279606343.70755273</v>
      </c>
      <c r="K94" s="42">
        <v>1019448.5941749918</v>
      </c>
      <c r="L94" s="42">
        <v>21424011.2127911</v>
      </c>
      <c r="M94" s="42">
        <v>0</v>
      </c>
      <c r="N94" s="42">
        <v>123646394.8819</v>
      </c>
      <c r="O94" s="42">
        <v>0</v>
      </c>
      <c r="P94" s="42">
        <v>15566625.359743562</v>
      </c>
      <c r="Q94" s="42">
        <v>1341946.9572654269</v>
      </c>
      <c r="Y94" s="96">
        <f t="shared" ref="Y94:Y100" si="6">E94-SUM(F94:Q94)</f>
        <v>0</v>
      </c>
    </row>
    <row r="95" spans="2:25" x14ac:dyDescent="0.25">
      <c r="B95" s="6" t="s">
        <v>574</v>
      </c>
      <c r="C95" s="6" t="s">
        <v>14</v>
      </c>
      <c r="D95" s="6">
        <f t="shared" si="4"/>
        <v>89</v>
      </c>
      <c r="E95" s="14">
        <f t="shared" si="5"/>
        <v>1820719702.9999971</v>
      </c>
      <c r="F95" s="42">
        <v>922472394.4683578</v>
      </c>
      <c r="G95" s="42">
        <v>244966752.0898039</v>
      </c>
      <c r="H95" s="42">
        <v>274103169.37495863</v>
      </c>
      <c r="I95" s="42">
        <v>182362278.76580909</v>
      </c>
      <c r="J95" s="42">
        <v>124567156.39851946</v>
      </c>
      <c r="K95" s="42">
        <v>483668.46223751613</v>
      </c>
      <c r="L95" s="42">
        <v>9315550.6299099699</v>
      </c>
      <c r="M95" s="42">
        <v>0</v>
      </c>
      <c r="N95" s="42">
        <v>55077035.605141252</v>
      </c>
      <c r="O95" s="42">
        <v>0</v>
      </c>
      <c r="P95" s="42">
        <v>6798258.0896460628</v>
      </c>
      <c r="Q95" s="42">
        <v>573439.11561347742</v>
      </c>
      <c r="Y95" s="96">
        <f t="shared" si="6"/>
        <v>0</v>
      </c>
    </row>
    <row r="96" spans="2:25" x14ac:dyDescent="0.25">
      <c r="B96" s="6" t="s">
        <v>575</v>
      </c>
      <c r="D96" s="6">
        <f t="shared" si="4"/>
        <v>90</v>
      </c>
      <c r="E96" s="14">
        <f t="shared" si="5"/>
        <v>147452491.0000003</v>
      </c>
      <c r="F96" s="42">
        <v>75368436.092660367</v>
      </c>
      <c r="G96" s="42">
        <v>19735110.809879981</v>
      </c>
      <c r="H96" s="42">
        <v>21937813.592386011</v>
      </c>
      <c r="I96" s="42">
        <v>14503561.641554687</v>
      </c>
      <c r="J96" s="42">
        <v>10034154.812895795</v>
      </c>
      <c r="K96" s="42">
        <v>34619.078420803453</v>
      </c>
      <c r="L96" s="42">
        <v>782979.40806335362</v>
      </c>
      <c r="M96" s="42">
        <v>0</v>
      </c>
      <c r="N96" s="42">
        <v>4436644.9778981367</v>
      </c>
      <c r="O96" s="42">
        <v>0</v>
      </c>
      <c r="P96" s="42">
        <v>569494.20652937377</v>
      </c>
      <c r="Q96" s="42">
        <v>49676.379711747766</v>
      </c>
      <c r="Y96" s="96">
        <f t="shared" si="6"/>
        <v>0</v>
      </c>
    </row>
    <row r="97" spans="2:25" x14ac:dyDescent="0.25">
      <c r="B97" s="13" t="s">
        <v>576</v>
      </c>
      <c r="D97" s="6">
        <f t="shared" si="4"/>
        <v>91</v>
      </c>
      <c r="E97" s="14">
        <f t="shared" si="5"/>
        <v>193837788.50000021</v>
      </c>
      <c r="F97" s="42">
        <v>97051753.003721014</v>
      </c>
      <c r="G97" s="42">
        <v>26266558.763776418</v>
      </c>
      <c r="H97" s="42">
        <v>29517432.959835123</v>
      </c>
      <c r="I97" s="42">
        <v>19808863.495894063</v>
      </c>
      <c r="J97" s="42">
        <v>13411288.341885353</v>
      </c>
      <c r="K97" s="42">
        <v>58633.826834495128</v>
      </c>
      <c r="L97" s="42">
        <v>998247.05598664621</v>
      </c>
      <c r="M97" s="42">
        <v>0</v>
      </c>
      <c r="N97" s="42">
        <v>5939891.2016375596</v>
      </c>
      <c r="O97" s="42">
        <v>0</v>
      </c>
      <c r="P97" s="42">
        <v>727533.50067128113</v>
      </c>
      <c r="Q97" s="42">
        <v>57586.349758228091</v>
      </c>
      <c r="Y97" s="96">
        <f t="shared" si="6"/>
        <v>0</v>
      </c>
    </row>
    <row r="98" spans="2:25" x14ac:dyDescent="0.25">
      <c r="B98" s="13" t="s">
        <v>579</v>
      </c>
      <c r="D98" s="6">
        <f t="shared" si="4"/>
        <v>92</v>
      </c>
      <c r="E98" s="14">
        <f t="shared" si="5"/>
        <v>1231639678.0000041</v>
      </c>
      <c r="F98" s="42">
        <v>574787917.96641147</v>
      </c>
      <c r="G98" s="42">
        <v>146873479.88080782</v>
      </c>
      <c r="H98" s="42">
        <v>163492560.83057791</v>
      </c>
      <c r="I98" s="42">
        <v>106317848.68518342</v>
      </c>
      <c r="J98" s="42">
        <v>73902372.336830527</v>
      </c>
      <c r="K98" s="42">
        <v>231016.44618195677</v>
      </c>
      <c r="L98" s="42">
        <v>6052610.034539083</v>
      </c>
      <c r="M98" s="42">
        <v>18347387.477510117</v>
      </c>
      <c r="N98" s="42">
        <v>32387416.982820705</v>
      </c>
      <c r="O98" s="42">
        <v>105004804.97671255</v>
      </c>
      <c r="P98" s="42">
        <v>3866955.4930743724</v>
      </c>
      <c r="Q98" s="42">
        <v>375306.88935428066</v>
      </c>
      <c r="Y98" s="96">
        <f t="shared" si="6"/>
        <v>0</v>
      </c>
    </row>
    <row r="99" spans="2:25" x14ac:dyDescent="0.25">
      <c r="B99" s="13" t="s">
        <v>580</v>
      </c>
      <c r="D99" s="6">
        <f t="shared" si="4"/>
        <v>93</v>
      </c>
      <c r="E99" s="14">
        <f t="shared" si="5"/>
        <v>348915489.00000072</v>
      </c>
      <c r="F99" s="42">
        <v>162833668.84883881</v>
      </c>
      <c r="G99" s="42">
        <v>41608299.057854384</v>
      </c>
      <c r="H99" s="42">
        <v>46316376.314455934</v>
      </c>
      <c r="I99" s="42">
        <v>30119153.211803675</v>
      </c>
      <c r="J99" s="42">
        <v>20936060.150349446</v>
      </c>
      <c r="K99" s="42">
        <v>65445.452697260924</v>
      </c>
      <c r="L99" s="42">
        <v>1714664.952461442</v>
      </c>
      <c r="M99" s="42">
        <v>5197695.2252653167</v>
      </c>
      <c r="N99" s="42">
        <v>9175144.0261798389</v>
      </c>
      <c r="O99" s="42">
        <v>29747176.491824046</v>
      </c>
      <c r="P99" s="42">
        <v>1095483.2739704861</v>
      </c>
      <c r="Q99" s="42">
        <v>106321.99430011961</v>
      </c>
      <c r="Y99" s="96">
        <f t="shared" si="6"/>
        <v>0</v>
      </c>
    </row>
    <row r="100" spans="2:25" x14ac:dyDescent="0.25">
      <c r="B100" s="13" t="s">
        <v>581</v>
      </c>
      <c r="D100" s="6">
        <f t="shared" si="4"/>
        <v>94</v>
      </c>
      <c r="E100" s="14">
        <f t="shared" si="5"/>
        <v>28661895.000000034</v>
      </c>
      <c r="F100" s="42">
        <v>13376080.071384253</v>
      </c>
      <c r="G100" s="42">
        <v>3417941.4108062694</v>
      </c>
      <c r="H100" s="42">
        <v>3804689.5496388124</v>
      </c>
      <c r="I100" s="42">
        <v>2474157.8808088722</v>
      </c>
      <c r="J100" s="42">
        <v>1719806.5911685694</v>
      </c>
      <c r="K100" s="42">
        <v>5376.0602569187658</v>
      </c>
      <c r="L100" s="42">
        <v>140852.29339770033</v>
      </c>
      <c r="M100" s="42">
        <v>426968.13264301873</v>
      </c>
      <c r="N100" s="42">
        <v>753698.31084868475</v>
      </c>
      <c r="O100" s="42">
        <v>2443601.6056459034</v>
      </c>
      <c r="P100" s="42">
        <v>89989.202436337393</v>
      </c>
      <c r="Q100" s="42">
        <v>8733.8909646989523</v>
      </c>
      <c r="Y100" s="96">
        <f t="shared" si="6"/>
        <v>0</v>
      </c>
    </row>
  </sheetData>
  <mergeCells count="1">
    <mergeCell ref="S2:U2"/>
  </mergeCells>
  <pageMargins left="0.7" right="0.7" top="0.75" bottom="0.75" header="0.3" footer="0.3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workbookViewId="0">
      <selection activeCell="K8" sqref="K8:L100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08" t="s">
        <v>584</v>
      </c>
      <c r="K3" s="108" t="s">
        <v>585</v>
      </c>
      <c r="L3" s="108" t="s">
        <v>586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 t="e">
        <f>'Alloc Amt'!K59/'Alloc Amt'!$E59</f>
        <v>#DIV/0!</v>
      </c>
      <c r="L59" s="17" t="e">
        <f>'Alloc Amt'!L59/'Alloc Amt'!$E59</f>
        <v>#DIV/0!</v>
      </c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si="0"/>
        <v>0.99999999999999989</v>
      </c>
      <c r="F68" s="17">
        <f>'Alloc Amt'!F68/'Alloc Amt'!$E68</f>
        <v>0.62243324454788362</v>
      </c>
      <c r="G68" s="17">
        <f>'Alloc Amt'!G68/'Alloc Amt'!$E68</f>
        <v>0.12264897852618946</v>
      </c>
      <c r="H68" s="17">
        <f>'Alloc Amt'!H68/'Alloc Amt'!$E68</f>
        <v>0.10277023331600679</v>
      </c>
      <c r="I68" s="17">
        <f>'Alloc Amt'!I68/'Alloc Amt'!$E68</f>
        <v>6.0823831501440946E-2</v>
      </c>
      <c r="J68" s="17">
        <f>'Alloc Amt'!J68/'Alloc Amt'!$E68</f>
        <v>4.7520150587924512E-2</v>
      </c>
      <c r="K68" s="17">
        <f>'Alloc Amt'!K68/'Alloc Amt'!$E68</f>
        <v>3.0492792407733888E-4</v>
      </c>
      <c r="L68" s="17">
        <f>'Alloc Amt'!L68/'Alloc Amt'!$E68</f>
        <v>6.1425853067780005E-3</v>
      </c>
      <c r="M68" s="17">
        <f>'Alloc Amt'!M68/'Alloc Amt'!$E68</f>
        <v>3.2557481375062513E-3</v>
      </c>
      <c r="N68" s="17">
        <f>'Alloc Amt'!N68/'Alloc Amt'!$E68</f>
        <v>1.5682255575657104E-2</v>
      </c>
      <c r="O68" s="17">
        <f>'Alloc Amt'!O68/'Alloc Amt'!$E68</f>
        <v>6.9971369636187709E-3</v>
      </c>
      <c r="P68" s="17">
        <f>'Alloc Amt'!P68/'Alloc Amt'!$E68</f>
        <v>1.1127170132880821E-2</v>
      </c>
      <c r="Q68" s="17">
        <f>'Alloc Amt'!Q68/'Alloc Amt'!$E68</f>
        <v>2.9373748003621024E-4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0.99999999999999967</v>
      </c>
      <c r="F75" s="17">
        <f>'Alloc Amt'!F75/'Alloc Amt'!$E75</f>
        <v>0.57139468845226149</v>
      </c>
      <c r="G75" s="17">
        <f>'Alloc Amt'!G75/'Alloc Amt'!$E75</f>
        <v>0.1254365078348762</v>
      </c>
      <c r="H75" s="17">
        <f>'Alloc Amt'!H75/'Alloc Amt'!$E75</f>
        <v>0.12328326484045965</v>
      </c>
      <c r="I75" s="17">
        <f>'Alloc Amt'!I75/'Alloc Amt'!$E75</f>
        <v>7.227217794854883E-2</v>
      </c>
      <c r="J75" s="17">
        <f>'Alloc Amt'!J75/'Alloc Amt'!$E75</f>
        <v>5.3045182743447813E-2</v>
      </c>
      <c r="K75" s="17">
        <f>'Alloc Amt'!K75/'Alloc Amt'!$E75</f>
        <v>3.0282181909505913E-4</v>
      </c>
      <c r="L75" s="17">
        <f>'Alloc Amt'!L75/'Alloc Amt'!$E75</f>
        <v>6.5983550079121928E-3</v>
      </c>
      <c r="M75" s="17">
        <f>'Alloc Amt'!M75/'Alloc Amt'!$E75</f>
        <v>6.8178737432143532E-3</v>
      </c>
      <c r="N75" s="17">
        <f>'Alloc Amt'!N75/'Alloc Amt'!$E75</f>
        <v>1.8834546837783659E-2</v>
      </c>
      <c r="O75" s="17">
        <f>'Alloc Amt'!O75/'Alloc Amt'!$E75</f>
        <v>1.1172758301056617E-2</v>
      </c>
      <c r="P75" s="17">
        <f>'Alloc Amt'!P75/'Alloc Amt'!$E75</f>
        <v>1.0528622654927749E-2</v>
      </c>
      <c r="Q75" s="17">
        <f>'Alloc Amt'!Q75/'Alloc Amt'!$E75</f>
        <v>3.1319981641627899E-4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0.99999999999999989</v>
      </c>
      <c r="F76" s="17">
        <f>'Alloc Amt'!F76/'Alloc Amt'!$E76</f>
        <v>0.60047198567366933</v>
      </c>
      <c r="G76" s="17">
        <f>'Alloc Amt'!G76/'Alloc Amt'!$E76</f>
        <v>0.1216463592711098</v>
      </c>
      <c r="H76" s="17">
        <f>'Alloc Amt'!H76/'Alloc Amt'!$E76</f>
        <v>0.11105129306073014</v>
      </c>
      <c r="I76" s="17">
        <f>'Alloc Amt'!I76/'Alloc Amt'!$E76</f>
        <v>6.532098975662666E-2</v>
      </c>
      <c r="J76" s="17">
        <f>'Alloc Amt'!J76/'Alloc Amt'!$E76</f>
        <v>4.8296223577158598E-2</v>
      </c>
      <c r="K76" s="17">
        <f>'Alloc Amt'!K76/'Alloc Amt'!$E76</f>
        <v>2.7248887831686052E-4</v>
      </c>
      <c r="L76" s="17">
        <f>'Alloc Amt'!L76/'Alloc Amt'!$E76</f>
        <v>5.9565305064634682E-3</v>
      </c>
      <c r="M76" s="17">
        <f>'Alloc Amt'!M76/'Alloc Amt'!$E76</f>
        <v>6.1705117368702706E-3</v>
      </c>
      <c r="N76" s="17">
        <f>'Alloc Amt'!N76/'Alloc Amt'!$E76</f>
        <v>1.690947526586031E-2</v>
      </c>
      <c r="O76" s="17">
        <f>'Alloc Amt'!O76/'Alloc Amt'!$E76</f>
        <v>9.6849724561189465E-3</v>
      </c>
      <c r="P76" s="17">
        <f>'Alloc Amt'!P76/'Alloc Amt'!$E76</f>
        <v>1.393853869892063E-2</v>
      </c>
      <c r="Q76" s="17">
        <f>'Alloc Amt'!Q76/'Alloc Amt'!$E76</f>
        <v>2.8063111815493683E-4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1</v>
      </c>
      <c r="F78" s="17">
        <f>'Alloc Amt'!F78/'Alloc Amt'!$E78</f>
        <v>0.50648699107615036</v>
      </c>
      <c r="G78" s="17">
        <f>'Alloc Amt'!G78/'Alloc Amt'!$E78</f>
        <v>0.13408460142198872</v>
      </c>
      <c r="H78" s="17">
        <f>'Alloc Amt'!H78/'Alloc Amt'!$E78</f>
        <v>0.14978980712968298</v>
      </c>
      <c r="I78" s="17">
        <f>'Alloc Amt'!I78/'Alloc Amt'!$E78</f>
        <v>9.9474196622923408E-2</v>
      </c>
      <c r="J78" s="17">
        <f>'Alloc Amt'!J78/'Alloc Amt'!$E78</f>
        <v>6.8235716710436281E-2</v>
      </c>
      <c r="K78" s="17">
        <f>'Alloc Amt'!K78/'Alloc Amt'!$E78</f>
        <v>2.5849472886982627E-4</v>
      </c>
      <c r="L78" s="17">
        <f>'Alloc Amt'!L78/'Alloc Amt'!$E78</f>
        <v>5.2039526515685868E-3</v>
      </c>
      <c r="M78" s="17">
        <f>'Alloc Amt'!M78/'Alloc Amt'!$E78</f>
        <v>3.2493430042016328E-4</v>
      </c>
      <c r="N78" s="17">
        <f>'Alloc Amt'!N78/'Alloc Amt'!$E78</f>
        <v>3.0179549225500122E-2</v>
      </c>
      <c r="O78" s="17">
        <f>'Alloc Amt'!O78/'Alloc Amt'!$E78</f>
        <v>1.8669992602963479E-3</v>
      </c>
      <c r="P78" s="17">
        <f>'Alloc Amt'!P78/'Alloc Amt'!$E78</f>
        <v>3.774133452959023E-3</v>
      </c>
      <c r="Q78" s="17">
        <f>'Alloc Amt'!Q78/'Alloc Amt'!$E78</f>
        <v>3.2062341920421471E-4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0.50917262375713168</v>
      </c>
      <c r="G79" s="17">
        <f>'Alloc Amt'!G79/'Alloc Amt'!$E79</f>
        <v>0.13412377209301268</v>
      </c>
      <c r="H79" s="17">
        <f>'Alloc Amt'!H79/'Alloc Amt'!$E79</f>
        <v>0.14960591588858729</v>
      </c>
      <c r="I79" s="17">
        <f>'Alloc Amt'!I79/'Alloc Amt'!$E79</f>
        <v>9.9118173490129927E-2</v>
      </c>
      <c r="J79" s="17">
        <f>'Alloc Amt'!J79/'Alloc Amt'!$E79</f>
        <v>6.8213809064479894E-2</v>
      </c>
      <c r="K79" s="17">
        <f>'Alloc Amt'!K79/'Alloc Amt'!$E79</f>
        <v>2.4870849077315453E-4</v>
      </c>
      <c r="L79" s="17">
        <f>'Alloc Amt'!L79/'Alloc Amt'!$E79</f>
        <v>5.2266818802692737E-3</v>
      </c>
      <c r="M79" s="17">
        <f>'Alloc Amt'!M79/'Alloc Amt'!$E79</f>
        <v>0</v>
      </c>
      <c r="N79" s="17">
        <f>'Alloc Amt'!N79/'Alloc Amt'!$E79</f>
        <v>3.0165236811676033E-2</v>
      </c>
      <c r="O79" s="17">
        <f>'Alloc Amt'!O79/'Alloc Amt'!$E79</f>
        <v>0</v>
      </c>
      <c r="P79" s="17">
        <f>'Alloc Amt'!P79/'Alloc Amt'!$E79</f>
        <v>3.7976921266795818E-3</v>
      </c>
      <c r="Q79" s="17">
        <f>'Alloc Amt'!Q79/'Alloc Amt'!$E79</f>
        <v>3.2738639726038142E-4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1</v>
      </c>
      <c r="F80" s="17">
        <f>'Alloc Amt'!F80/'Alloc Amt'!$E80</f>
        <v>0.57056003469743999</v>
      </c>
      <c r="G80" s="17">
        <f>'Alloc Amt'!G80/'Alloc Amt'!$E80</f>
        <v>0.1255160175935954</v>
      </c>
      <c r="H80" s="17">
        <f>'Alloc Amt'!H80/'Alloc Amt'!$E80</f>
        <v>0.12358533009145097</v>
      </c>
      <c r="I80" s="17">
        <f>'Alloc Amt'!I80/'Alloc Amt'!$E80</f>
        <v>7.2427956086604892E-2</v>
      </c>
      <c r="J80" s="17">
        <f>'Alloc Amt'!J80/'Alloc Amt'!$E80</f>
        <v>5.3155386307057816E-2</v>
      </c>
      <c r="K80" s="17">
        <f>'Alloc Amt'!K80/'Alloc Amt'!$E80</f>
        <v>3.0365795252794501E-4</v>
      </c>
      <c r="L80" s="17">
        <f>'Alloc Amt'!L80/'Alloc Amt'!$E80</f>
        <v>6.617640643152789E-3</v>
      </c>
      <c r="M80" s="17">
        <f>'Alloc Amt'!M80/'Alloc Amt'!$E80</f>
        <v>6.8638682620851283E-3</v>
      </c>
      <c r="N80" s="17">
        <f>'Alloc Amt'!N80/'Alloc Amt'!$E80</f>
        <v>1.8873506160397593E-2</v>
      </c>
      <c r="O80" s="17">
        <f>'Alloc Amt'!O80/'Alloc Amt'!$E80</f>
        <v>1.1346218292573134E-2</v>
      </c>
      <c r="P80" s="17">
        <f>'Alloc Amt'!P80/'Alloc Amt'!$E80</f>
        <v>1.0436295155506922E-2</v>
      </c>
      <c r="Q80" s="17">
        <f>'Alloc Amt'!Q80/'Alloc Amt'!$E80</f>
        <v>3.1408875760732553E-4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0.99999999999999978</v>
      </c>
      <c r="F81" s="17">
        <f>'Alloc Amt'!F81/'Alloc Amt'!$E81</f>
        <v>0.56890852864698638</v>
      </c>
      <c r="G81" s="17">
        <f>'Alloc Amt'!G81/'Alloc Amt'!$E81</f>
        <v>0.12572967012792363</v>
      </c>
      <c r="H81" s="17">
        <f>'Alloc Amt'!H81/'Alloc Amt'!$E81</f>
        <v>0.12427736245033305</v>
      </c>
      <c r="I81" s="17">
        <f>'Alloc Amt'!I81/'Alloc Amt'!$E81</f>
        <v>7.2820347672953006E-2</v>
      </c>
      <c r="J81" s="17">
        <f>'Alloc Amt'!J81/'Alloc Amt'!$E81</f>
        <v>5.3423671603959534E-2</v>
      </c>
      <c r="K81" s="17">
        <f>'Alloc Amt'!K81/'Alloc Amt'!$E81</f>
        <v>3.0537886717799746E-4</v>
      </c>
      <c r="L81" s="17">
        <f>'Alloc Amt'!L81/'Alloc Amt'!$E81</f>
        <v>6.6541420198642683E-3</v>
      </c>
      <c r="M81" s="17">
        <f>'Alloc Amt'!M81/'Alloc Amt'!$E81</f>
        <v>6.9021500343915826E-3</v>
      </c>
      <c r="N81" s="17">
        <f>'Alloc Amt'!N81/'Alloc Amt'!$E81</f>
        <v>1.8981944720897502E-2</v>
      </c>
      <c r="O81" s="17">
        <f>'Alloc Amt'!O81/'Alloc Amt'!$E81</f>
        <v>1.1437939409406177E-2</v>
      </c>
      <c r="P81" s="17">
        <f>'Alloc Amt'!P81/'Alloc Amt'!$E81</f>
        <v>1.0242928417018134E-2</v>
      </c>
      <c r="Q81" s="17">
        <f>'Alloc Amt'!Q81/'Alloc Amt'!$E81</f>
        <v>3.1593602908866177E-4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1</v>
      </c>
      <c r="F82" s="17">
        <f>'Alloc Amt'!F82/'Alloc Amt'!$E82</f>
        <v>0.56870778444655712</v>
      </c>
      <c r="G82" s="17">
        <f>'Alloc Amt'!G82/'Alloc Amt'!$E82</f>
        <v>0.12057252294333433</v>
      </c>
      <c r="H82" s="17">
        <f>'Alloc Amt'!H82/'Alloc Amt'!$E82</f>
        <v>0.12525474416971133</v>
      </c>
      <c r="I82" s="17">
        <f>'Alloc Amt'!I82/'Alloc Amt'!$E82</f>
        <v>7.3227050340943192E-2</v>
      </c>
      <c r="J82" s="17">
        <f>'Alloc Amt'!J82/'Alloc Amt'!$E82</f>
        <v>5.4747031358055025E-2</v>
      </c>
      <c r="K82" s="17">
        <f>'Alloc Amt'!K82/'Alloc Amt'!$E82</f>
        <v>3.06774386346739E-4</v>
      </c>
      <c r="L82" s="17">
        <f>'Alloc Amt'!L82/'Alloc Amt'!$E82</f>
        <v>6.9793744697902137E-3</v>
      </c>
      <c r="M82" s="17">
        <f>'Alloc Amt'!M82/'Alloc Amt'!$E82</f>
        <v>7.1478654957433056E-3</v>
      </c>
      <c r="N82" s="17">
        <f>'Alloc Amt'!N82/'Alloc Amt'!$E82</f>
        <v>1.8989193412689766E-2</v>
      </c>
      <c r="O82" s="17">
        <f>'Alloc Amt'!O82/'Alloc Amt'!$E82</f>
        <v>1.284912473920739E-2</v>
      </c>
      <c r="P82" s="17">
        <f>'Alloc Amt'!P82/'Alloc Amt'!$E82</f>
        <v>1.0889099486094513E-2</v>
      </c>
      <c r="Q82" s="17">
        <f>'Alloc Amt'!Q82/'Alloc Amt'!$E82</f>
        <v>3.2943475152701101E-4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si="1"/>
        <v>0.99999999999999978</v>
      </c>
      <c r="F83" s="17">
        <f>'Alloc Amt'!F83/'Alloc Amt'!$E83</f>
        <v>0.5587630675671813</v>
      </c>
      <c r="G83" s="17">
        <f>'Alloc Amt'!G83/'Alloc Amt'!$E83</f>
        <v>0.12739054618532591</v>
      </c>
      <c r="H83" s="17">
        <f>'Alloc Amt'!H83/'Alloc Amt'!$E83</f>
        <v>0.12895834794030017</v>
      </c>
      <c r="I83" s="17">
        <f>'Alloc Amt'!I83/'Alloc Amt'!$E83</f>
        <v>7.9875534858421512E-2</v>
      </c>
      <c r="J83" s="17">
        <f>'Alloc Amt'!J83/'Alloc Amt'!$E83</f>
        <v>5.7811524479887723E-2</v>
      </c>
      <c r="K83" s="17">
        <f>'Alloc Amt'!K83/'Alloc Amt'!$E83</f>
        <v>2.8546106816618427E-4</v>
      </c>
      <c r="L83" s="17">
        <f>'Alloc Amt'!L83/'Alloc Amt'!$E83</f>
        <v>6.1066834332213632E-3</v>
      </c>
      <c r="M83" s="17">
        <f>'Alloc Amt'!M83/'Alloc Amt'!$E83</f>
        <v>3.1752595197064642E-3</v>
      </c>
      <c r="N83" s="17">
        <f>'Alloc Amt'!N83/'Alloc Amt'!$E83</f>
        <v>2.2256356744645628E-2</v>
      </c>
      <c r="O83" s="17">
        <f>'Alloc Amt'!O83/'Alloc Amt'!$E83</f>
        <v>6.1484103022467962E-3</v>
      </c>
      <c r="P83" s="17">
        <f>'Alloc Amt'!P83/'Alloc Amt'!$E83</f>
        <v>8.9156065587376026E-3</v>
      </c>
      <c r="Q83" s="17">
        <f>'Alloc Amt'!Q83/'Alloc Amt'!$E83</f>
        <v>3.1320134215919403E-4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</v>
      </c>
      <c r="F84" s="17">
        <f>'Alloc Amt'!F84/'Alloc Amt'!$E84</f>
        <v>0.60206040209172484</v>
      </c>
      <c r="G84" s="17">
        <f>'Alloc Amt'!G84/'Alloc Amt'!$E84</f>
        <v>0.12142245223380115</v>
      </c>
      <c r="H84" s="17">
        <f>'Alloc Amt'!H84/'Alloc Amt'!$E84</f>
        <v>0.11035335676494906</v>
      </c>
      <c r="I84" s="17">
        <f>'Alloc Amt'!I84/'Alloc Amt'!$E84</f>
        <v>6.4936370741844579E-2</v>
      </c>
      <c r="J84" s="17">
        <f>'Alloc Amt'!J84/'Alloc Amt'!$E84</f>
        <v>4.8029972437206372E-2</v>
      </c>
      <c r="K84" s="17">
        <f>'Alloc Amt'!K84/'Alloc Amt'!$E84</f>
        <v>2.7059326747375583E-4</v>
      </c>
      <c r="L84" s="17">
        <f>'Alloc Amt'!L84/'Alloc Amt'!$E84</f>
        <v>5.9169814101675952E-3</v>
      </c>
      <c r="M84" s="17">
        <f>'Alloc Amt'!M84/'Alloc Amt'!$E84</f>
        <v>6.1369298107520108E-3</v>
      </c>
      <c r="N84" s="17">
        <f>'Alloc Amt'!N84/'Alloc Amt'!$E84</f>
        <v>1.6807517982392502E-2</v>
      </c>
      <c r="O84" s="17">
        <f>'Alloc Amt'!O84/'Alloc Amt'!$E84</f>
        <v>9.65745643646399E-3</v>
      </c>
      <c r="P84" s="17">
        <f>'Alloc Amt'!P84/'Alloc Amt'!$E84</f>
        <v>1.4129244358887719E-2</v>
      </c>
      <c r="Q84" s="17">
        <f>'Alloc Amt'!Q84/'Alloc Amt'!$E84</f>
        <v>2.7872246433634571E-4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1</v>
      </c>
      <c r="F85" s="17">
        <f>'Alloc Amt'!F85/'Alloc Amt'!$E85</f>
        <v>0.57098732199429836</v>
      </c>
      <c r="G85" s="17">
        <f>'Alloc Amt'!G85/'Alloc Amt'!$E85</f>
        <v>0.12580569963498472</v>
      </c>
      <c r="H85" s="17">
        <f>'Alloc Amt'!H85/'Alloc Amt'!$E85</f>
        <v>0.12401205901629217</v>
      </c>
      <c r="I85" s="17">
        <f>'Alloc Amt'!I85/'Alloc Amt'!$E85</f>
        <v>7.2461622692589447E-2</v>
      </c>
      <c r="J85" s="17">
        <f>'Alloc Amt'!J85/'Alloc Amt'!$E85</f>
        <v>5.3239844852419241E-2</v>
      </c>
      <c r="K85" s="17">
        <f>'Alloc Amt'!K85/'Alloc Amt'!$E85</f>
        <v>3.0771638758546099E-4</v>
      </c>
      <c r="L85" s="17">
        <f>'Alloc Amt'!L85/'Alloc Amt'!$E85</f>
        <v>6.6914030166426407E-3</v>
      </c>
      <c r="M85" s="17">
        <f>'Alloc Amt'!M85/'Alloc Amt'!$E85</f>
        <v>6.7933227507985068E-3</v>
      </c>
      <c r="N85" s="17">
        <f>'Alloc Amt'!N85/'Alloc Amt'!$E85</f>
        <v>1.880164202736976E-2</v>
      </c>
      <c r="O85" s="17">
        <f>'Alloc Amt'!O85/'Alloc Amt'!$E85</f>
        <v>1.018548057142043E-2</v>
      </c>
      <c r="P85" s="17">
        <f>'Alloc Amt'!P85/'Alloc Amt'!$E85</f>
        <v>1.0397804644123369E-2</v>
      </c>
      <c r="Q85" s="17">
        <f>'Alloc Amt'!Q85/'Alloc Amt'!$E85</f>
        <v>3.1608241147604679E-4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0.99999999999999978</v>
      </c>
      <c r="F86" s="17">
        <f>'Alloc Amt'!F86/'Alloc Amt'!$E86</f>
        <v>0.61197455442108106</v>
      </c>
      <c r="G86" s="17">
        <f>'Alloc Amt'!G86/'Alloc Amt'!$E86</f>
        <v>0.1196780230951137</v>
      </c>
      <c r="H86" s="17">
        <f>'Alloc Amt'!H86/'Alloc Amt'!$E86</f>
        <v>0.10601698559317006</v>
      </c>
      <c r="I86" s="17">
        <f>'Alloc Amt'!I86/'Alloc Amt'!$E86</f>
        <v>5.3861183221799898E-2</v>
      </c>
      <c r="J86" s="17">
        <f>'Alloc Amt'!J86/'Alloc Amt'!$E86</f>
        <v>4.2760864331656011E-2</v>
      </c>
      <c r="K86" s="17">
        <f>'Alloc Amt'!K86/'Alloc Amt'!$E86</f>
        <v>3.4623482969130856E-4</v>
      </c>
      <c r="L86" s="17">
        <f>'Alloc Amt'!L86/'Alloc Amt'!$E86</f>
        <v>7.6832556706349893E-3</v>
      </c>
      <c r="M86" s="17">
        <f>'Alloc Amt'!M86/'Alloc Amt'!$E86</f>
        <v>1.1878188680258991E-2</v>
      </c>
      <c r="N86" s="17">
        <f>'Alloc Amt'!N86/'Alloc Amt'!$E86</f>
        <v>1.0919457908171669E-2</v>
      </c>
      <c r="O86" s="17">
        <f>'Alloc Amt'!O86/'Alloc Amt'!$E86</f>
        <v>1.9684011755950297E-2</v>
      </c>
      <c r="P86" s="17">
        <f>'Alloc Amt'!P86/'Alloc Amt'!$E86</f>
        <v>1.4889559496126345E-2</v>
      </c>
      <c r="Q86" s="17">
        <f>'Alloc Amt'!Q86/'Alloc Amt'!$E86</f>
        <v>3.0768099634553343E-4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si="1"/>
        <v>1</v>
      </c>
      <c r="F87" s="17">
        <f>'Alloc Amt'!F87/'Alloc Amt'!$E87</f>
        <v>0.55632008740919514</v>
      </c>
      <c r="G87" s="17">
        <f>'Alloc Amt'!G87/'Alloc Amt'!$E87</f>
        <v>0.12920554948077287</v>
      </c>
      <c r="H87" s="17">
        <f>'Alloc Amt'!H87/'Alloc Amt'!$E87</f>
        <v>0.13007494795441912</v>
      </c>
      <c r="I87" s="17">
        <f>'Alloc Amt'!I87/'Alloc Amt'!$E87</f>
        <v>8.1429417183825292E-2</v>
      </c>
      <c r="J87" s="17">
        <f>'Alloc Amt'!J87/'Alloc Amt'!$E87</f>
        <v>5.8458118369352156E-2</v>
      </c>
      <c r="K87" s="17">
        <f>'Alloc Amt'!K87/'Alloc Amt'!$E87</f>
        <v>2.7338509487303842E-4</v>
      </c>
      <c r="L87" s="17">
        <f>'Alloc Amt'!L87/'Alloc Amt'!$E87</f>
        <v>5.8623510895705619E-3</v>
      </c>
      <c r="M87" s="17">
        <f>'Alloc Amt'!M87/'Alloc Amt'!$E87</f>
        <v>2.2153754054948234E-3</v>
      </c>
      <c r="N87" s="17">
        <f>'Alloc Amt'!N87/'Alloc Amt'!$E87</f>
        <v>2.2920591913037629E-2</v>
      </c>
      <c r="O87" s="17">
        <f>'Alloc Amt'!O87/'Alloc Amt'!$E87</f>
        <v>4.5060915503507305E-3</v>
      </c>
      <c r="P87" s="17">
        <f>'Alloc Amt'!P87/'Alloc Amt'!$E87</f>
        <v>8.4317600459915022E-3</v>
      </c>
      <c r="Q87" s="17">
        <f>'Alloc Amt'!Q87/'Alloc Amt'!$E87</f>
        <v>3.0232450311717035E-4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0.4762294960787839</v>
      </c>
      <c r="G88" s="17">
        <f>'Alloc Amt'!G88/'Alloc Amt'!$E88</f>
        <v>0.12260273049789845</v>
      </c>
      <c r="H88" s="17">
        <f>'Alloc Amt'!H88/'Alloc Amt'!$E88</f>
        <v>0.13654504952130278</v>
      </c>
      <c r="I88" s="17">
        <f>'Alloc Amt'!I88/'Alloc Amt'!$E88</f>
        <v>8.9210462923198425E-2</v>
      </c>
      <c r="J88" s="17">
        <f>'Alloc Amt'!J88/'Alloc Amt'!$E88</f>
        <v>6.185532858093467E-2</v>
      </c>
      <c r="K88" s="17">
        <f>'Alloc Amt'!K88/'Alloc Amt'!$E88</f>
        <v>2.0142572153863361E-4</v>
      </c>
      <c r="L88" s="17">
        <f>'Alloc Amt'!L88/'Alloc Amt'!$E88</f>
        <v>4.9840733393551025E-3</v>
      </c>
      <c r="M88" s="17">
        <f>'Alloc Amt'!M88/'Alloc Amt'!$E88</f>
        <v>1.1504960396237489E-2</v>
      </c>
      <c r="N88" s="17">
        <f>'Alloc Amt'!N88/'Alloc Amt'!$E88</f>
        <v>2.7169439043438649E-2</v>
      </c>
      <c r="O88" s="17">
        <f>'Alloc Amt'!O88/'Alloc Amt'!$E88</f>
        <v>6.6098700290675688E-2</v>
      </c>
      <c r="P88" s="17">
        <f>'Alloc Amt'!P88/'Alloc Amt'!$E88</f>
        <v>3.2885349730498174E-3</v>
      </c>
      <c r="Q88" s="17">
        <f>'Alloc Amt'!Q88/'Alloc Amt'!$E88</f>
        <v>3.0979863358645724E-4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1</v>
      </c>
      <c r="F89" s="17">
        <f>'Alloc Amt'!F89/'Alloc Amt'!$E89</f>
        <v>0.51894959757000581</v>
      </c>
      <c r="G89" s="17">
        <f>'Alloc Amt'!G89/'Alloc Amt'!$E89</f>
        <v>0.13356235974636316</v>
      </c>
      <c r="H89" s="17">
        <f>'Alloc Amt'!H89/'Alloc Amt'!$E89</f>
        <v>0.14488088225128337</v>
      </c>
      <c r="I89" s="17">
        <f>'Alloc Amt'!I89/'Alloc Amt'!$E89</f>
        <v>9.3962957272083439E-2</v>
      </c>
      <c r="J89" s="17">
        <f>'Alloc Amt'!J89/'Alloc Amt'!$E89</f>
        <v>6.5870972127698726E-2</v>
      </c>
      <c r="K89" s="17">
        <f>'Alloc Amt'!K89/'Alloc Amt'!$E89</f>
        <v>2.8950638267148437E-4</v>
      </c>
      <c r="L89" s="17">
        <f>'Alloc Amt'!L89/'Alloc Amt'!$E89</f>
        <v>5.7650256661704521E-3</v>
      </c>
      <c r="M89" s="17">
        <f>'Alloc Amt'!M89/'Alloc Amt'!$E89</f>
        <v>8.7066704418646698E-4</v>
      </c>
      <c r="N89" s="17">
        <f>'Alloc Amt'!N89/'Alloc Amt'!$E89</f>
        <v>2.7755252356171628E-2</v>
      </c>
      <c r="O89" s="17">
        <f>'Alloc Amt'!O89/'Alloc Amt'!$E89</f>
        <v>1.8265347237711668E-3</v>
      </c>
      <c r="P89" s="17">
        <f>'Alloc Amt'!P89/'Alloc Amt'!$E89</f>
        <v>5.9351971221677019E-3</v>
      </c>
      <c r="Q89" s="17">
        <f>'Alloc Amt'!Q89/'Alloc Amt'!$E89</f>
        <v>3.3104773742660324E-4</v>
      </c>
    </row>
    <row r="90" spans="2:17" x14ac:dyDescent="0.25">
      <c r="B90" s="16" t="str">
        <f>'Alloc Amt'!B90</f>
        <v>Firm Sales Revenue</v>
      </c>
      <c r="C90" s="16" t="str">
        <f>'Alloc Amt'!C90</f>
        <v>~</v>
      </c>
      <c r="D90" s="16">
        <f>'Alloc Amt'!D90</f>
        <v>84</v>
      </c>
      <c r="E90" s="17">
        <f t="shared" ref="E90" si="2">SUM(F90:Q90)</f>
        <v>1.0000000000000002</v>
      </c>
      <c r="F90" s="17">
        <f>'Alloc Amt'!F90/'Alloc Amt'!$E90</f>
        <v>0.55377826395353158</v>
      </c>
      <c r="G90" s="17">
        <f>'Alloc Amt'!G90/'Alloc Amt'!$E90</f>
        <v>0.13189287771115193</v>
      </c>
      <c r="H90" s="17">
        <f>'Alloc Amt'!H90/'Alloc Amt'!$E90</f>
        <v>0.13555479923150096</v>
      </c>
      <c r="I90" s="17">
        <f>'Alloc Amt'!I90/'Alloc Amt'!$E90</f>
        <v>8.0260714969164662E-2</v>
      </c>
      <c r="J90" s="17">
        <f>'Alloc Amt'!J90/'Alloc Amt'!$E90</f>
        <v>5.6712610862545594E-2</v>
      </c>
      <c r="K90" s="17">
        <f>'Alloc Amt'!K90/'Alloc Amt'!$E90</f>
        <v>1.3420815236527242E-4</v>
      </c>
      <c r="L90" s="17">
        <f>'Alloc Amt'!L90/'Alloc Amt'!$E90</f>
        <v>5.3515940164241852E-3</v>
      </c>
      <c r="M90" s="17">
        <f>'Alloc Amt'!M90/'Alloc Amt'!$E90</f>
        <v>2.7508995703640908E-3</v>
      </c>
      <c r="N90" s="17">
        <f>'Alloc Amt'!N90/'Alloc Amt'!$E90</f>
        <v>2.0094239423697376E-2</v>
      </c>
      <c r="O90" s="17">
        <f>'Alloc Amt'!O90/'Alloc Amt'!$E90</f>
        <v>5.0662792700490516E-3</v>
      </c>
      <c r="P90" s="17">
        <f>'Alloc Amt'!P90/'Alloc Amt'!$E90</f>
        <v>8.2410988317869836E-3</v>
      </c>
      <c r="Q90" s="17">
        <f>'Alloc Amt'!Q90/'Alloc Amt'!$E90</f>
        <v>1.6241400741840315E-4</v>
      </c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85</v>
      </c>
      <c r="E91" s="18"/>
      <c r="F91" s="18"/>
      <c r="G91" s="18"/>
      <c r="H91" s="18"/>
      <c r="I91" s="18"/>
      <c r="J91" s="18"/>
      <c r="K91" s="17" t="e">
        <f>'Alloc Amt'!K91/'Alloc Amt'!$E91</f>
        <v>#DIV/0!</v>
      </c>
      <c r="L91" s="17" t="e">
        <f>'Alloc Amt'!L91/'Alloc Amt'!$E91</f>
        <v>#DIV/0!</v>
      </c>
      <c r="M91" s="18"/>
      <c r="N91" s="18"/>
      <c r="O91" s="18"/>
      <c r="P91" s="18"/>
      <c r="Q91" s="18"/>
    </row>
    <row r="92" spans="2:17" x14ac:dyDescent="0.25">
      <c r="B92" s="16">
        <f>'Alloc Amt'!B92</f>
        <v>0</v>
      </c>
      <c r="C92" s="16" t="str">
        <f>'Alloc Amt'!C92</f>
        <v>~</v>
      </c>
      <c r="D92" s="16">
        <f>'Alloc Amt'!D92</f>
        <v>86</v>
      </c>
      <c r="E92" s="18"/>
      <c r="F92" s="18"/>
      <c r="G92" s="18"/>
      <c r="H92" s="18"/>
      <c r="I92" s="18"/>
      <c r="J92" s="18"/>
      <c r="K92" s="17" t="e">
        <f>'Alloc Amt'!K92/'Alloc Amt'!$E92</f>
        <v>#DIV/0!</v>
      </c>
      <c r="L92" s="17" t="e">
        <f>'Alloc Amt'!L92/'Alloc Amt'!$E92</f>
        <v>#DIV/0!</v>
      </c>
      <c r="M92" s="18"/>
      <c r="N92" s="18"/>
      <c r="O92" s="18"/>
      <c r="P92" s="18"/>
      <c r="Q92" s="18"/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87</v>
      </c>
      <c r="E93" s="18"/>
      <c r="F93" s="18"/>
      <c r="G93" s="18"/>
      <c r="H93" s="18"/>
      <c r="I93" s="18"/>
      <c r="J93" s="18"/>
      <c r="K93" s="17" t="e">
        <f>'Alloc Amt'!K93/'Alloc Amt'!$E93</f>
        <v>#DIV/0!</v>
      </c>
      <c r="L93" s="17" t="e">
        <f>'Alloc Amt'!L93/'Alloc Amt'!$E93</f>
        <v>#DIV/0!</v>
      </c>
      <c r="M93" s="18"/>
      <c r="N93" s="18"/>
      <c r="O93" s="18"/>
      <c r="P93" s="18"/>
      <c r="Q93" s="18"/>
    </row>
    <row r="94" spans="2:17" x14ac:dyDescent="0.25">
      <c r="B94" s="16" t="str">
        <f>'Alloc Amt'!B94</f>
        <v>Prob. Of Dispatch - Gen. Gross Plt. - TY Loads</v>
      </c>
      <c r="C94" s="16" t="str">
        <f>'Alloc Amt'!C94</f>
        <v>~</v>
      </c>
      <c r="D94" s="16">
        <f>'Alloc Amt'!D94</f>
        <v>88</v>
      </c>
      <c r="E94" s="17">
        <f t="shared" ref="E94:E97" si="3">SUM(F94:Q94)</f>
        <v>1.0000000000000002</v>
      </c>
      <c r="F94" s="17">
        <f>'Alloc Amt'!F94/'Alloc Amt'!$E94</f>
        <v>0.50917262375713179</v>
      </c>
      <c r="G94" s="17">
        <f>'Alloc Amt'!G94/'Alloc Amt'!$E94</f>
        <v>0.13412377209301271</v>
      </c>
      <c r="H94" s="17">
        <f>'Alloc Amt'!H94/'Alloc Amt'!$E94</f>
        <v>0.14960591588858732</v>
      </c>
      <c r="I94" s="17">
        <f>'Alloc Amt'!I94/'Alloc Amt'!$E94</f>
        <v>9.9118173490129954E-2</v>
      </c>
      <c r="J94" s="17">
        <f>'Alloc Amt'!J94/'Alloc Amt'!$E94</f>
        <v>6.8213809064479908E-2</v>
      </c>
      <c r="K94" s="17">
        <f>'Alloc Amt'!K94/'Alloc Amt'!$E94</f>
        <v>2.4870849077315458E-4</v>
      </c>
      <c r="L94" s="17">
        <f>'Alloc Amt'!L94/'Alloc Amt'!$E94</f>
        <v>5.2266818802692754E-3</v>
      </c>
      <c r="M94" s="17">
        <f>'Alloc Amt'!M94/'Alloc Amt'!$E94</f>
        <v>0</v>
      </c>
      <c r="N94" s="17">
        <f>'Alloc Amt'!N94/'Alloc Amt'!$E94</f>
        <v>3.016523681167604E-2</v>
      </c>
      <c r="O94" s="17">
        <f>'Alloc Amt'!O94/'Alloc Amt'!$E94</f>
        <v>0</v>
      </c>
      <c r="P94" s="17">
        <f>'Alloc Amt'!P94/'Alloc Amt'!$E94</f>
        <v>3.7976921266795827E-3</v>
      </c>
      <c r="Q94" s="17">
        <f>'Alloc Amt'!Q94/'Alloc Amt'!$E94</f>
        <v>3.2738639726038148E-4</v>
      </c>
    </row>
    <row r="95" spans="2:17" x14ac:dyDescent="0.25">
      <c r="B95" s="16" t="str">
        <f>'Alloc Amt'!B95</f>
        <v>Prob. Of Dispatch - Gen. Accum. Depr. - TY Loads</v>
      </c>
      <c r="C95" s="16" t="str">
        <f>'Alloc Amt'!C95</f>
        <v>~</v>
      </c>
      <c r="D95" s="16">
        <f>'Alloc Amt'!D95</f>
        <v>89</v>
      </c>
      <c r="E95" s="17">
        <f t="shared" si="3"/>
        <v>1</v>
      </c>
      <c r="F95" s="17">
        <f>'Alloc Amt'!F95/'Alloc Amt'!$E95</f>
        <v>0.50665261267201178</v>
      </c>
      <c r="G95" s="17">
        <f>'Alloc Amt'!G95/'Alloc Amt'!$E95</f>
        <v>0.134543912325534</v>
      </c>
      <c r="H95" s="17">
        <f>'Alloc Amt'!H95/'Alloc Amt'!$E95</f>
        <v>0.15054660468787109</v>
      </c>
      <c r="I95" s="17">
        <f>'Alloc Amt'!I95/'Alloc Amt'!$E95</f>
        <v>0.10015944709409748</v>
      </c>
      <c r="J95" s="17">
        <f>'Alloc Amt'!J95/'Alloc Amt'!$E95</f>
        <v>6.841643784777543E-2</v>
      </c>
      <c r="K95" s="17">
        <f>'Alloc Amt'!K95/'Alloc Amt'!$E95</f>
        <v>2.6564685461500542E-4</v>
      </c>
      <c r="L95" s="17">
        <f>'Alloc Amt'!L95/'Alloc Amt'!$E95</f>
        <v>5.1164111722198377E-3</v>
      </c>
      <c r="M95" s="17">
        <f>'Alloc Amt'!M95/'Alloc Amt'!$E95</f>
        <v>0</v>
      </c>
      <c r="N95" s="17">
        <f>'Alloc Amt'!N95/'Alloc Amt'!$E95</f>
        <v>3.025014532132041E-2</v>
      </c>
      <c r="O95" s="17">
        <f>'Alloc Amt'!O95/'Alloc Amt'!$E95</f>
        <v>0</v>
      </c>
      <c r="P95" s="17">
        <f>'Alloc Amt'!P95/'Alloc Amt'!$E95</f>
        <v>3.7338301323617154E-3</v>
      </c>
      <c r="Q95" s="17">
        <f>'Alloc Amt'!Q95/'Alloc Amt'!$E95</f>
        <v>3.149518921933028E-4</v>
      </c>
    </row>
    <row r="96" spans="2:17" x14ac:dyDescent="0.25">
      <c r="B96" s="16" t="str">
        <f>'Alloc Amt'!B96</f>
        <v>Prob. Of Dispatch - Gen. Depr. Exp. - TY Loads</v>
      </c>
      <c r="C96" s="16">
        <f>'Alloc Amt'!C96</f>
        <v>0</v>
      </c>
      <c r="D96" s="16">
        <f>'Alloc Amt'!D96</f>
        <v>90</v>
      </c>
      <c r="E96" s="17">
        <f t="shared" si="3"/>
        <v>0.99999999999999956</v>
      </c>
      <c r="F96" s="17">
        <f>'Alloc Amt'!F96/'Alloc Amt'!$E96</f>
        <v>0.51113708274118075</v>
      </c>
      <c r="G96" s="17">
        <f>'Alloc Amt'!G96/'Alloc Amt'!$E96</f>
        <v>0.13384047075800123</v>
      </c>
      <c r="H96" s="17">
        <f>'Alloc Amt'!H96/'Alloc Amt'!$E96</f>
        <v>0.14877886052386843</v>
      </c>
      <c r="I96" s="17">
        <f>'Alloc Amt'!I96/'Alloc Amt'!$E96</f>
        <v>9.8360913018110063E-2</v>
      </c>
      <c r="J96" s="17">
        <f>'Alloc Amt'!J96/'Alloc Amt'!$E96</f>
        <v>6.8050086809966298E-2</v>
      </c>
      <c r="K96" s="17">
        <f>'Alloc Amt'!K96/'Alloc Amt'!$E96</f>
        <v>2.3478123825526544E-4</v>
      </c>
      <c r="L96" s="17">
        <f>'Alloc Amt'!L96/'Alloc Amt'!$E96</f>
        <v>5.3100453085146732E-3</v>
      </c>
      <c r="M96" s="17">
        <f>'Alloc Amt'!M96/'Alloc Amt'!$E96</f>
        <v>0</v>
      </c>
      <c r="N96" s="17">
        <f>'Alloc Amt'!N96/'Alloc Amt'!$E96</f>
        <v>3.0088640400779177E-2</v>
      </c>
      <c r="O96" s="17">
        <f>'Alloc Amt'!O96/'Alloc Amt'!$E96</f>
        <v>0</v>
      </c>
      <c r="P96" s="17">
        <f>'Alloc Amt'!P96/'Alloc Amt'!$E96</f>
        <v>3.8622216733481471E-3</v>
      </c>
      <c r="Q96" s="17">
        <f>'Alloc Amt'!Q96/'Alloc Amt'!$E96</f>
        <v>3.3689752797562211E-4</v>
      </c>
    </row>
    <row r="97" spans="2:17" x14ac:dyDescent="0.25">
      <c r="B97" s="16" t="str">
        <f>'Alloc Amt'!B97</f>
        <v>Time Differentiated Fuel Costs Adj. TY Loads</v>
      </c>
      <c r="C97" s="16">
        <f>'Alloc Amt'!C97</f>
        <v>0</v>
      </c>
      <c r="D97" s="16">
        <f>'Alloc Amt'!D97</f>
        <v>91</v>
      </c>
      <c r="E97" s="17">
        <f t="shared" si="3"/>
        <v>0.99999999999999989</v>
      </c>
      <c r="F97" s="17">
        <f>'Alloc Amt'!F97/'Alloc Amt'!$E97</f>
        <v>0.50068541203832873</v>
      </c>
      <c r="G97" s="17">
        <f>'Alloc Amt'!G97/'Alloc Amt'!$E97</f>
        <v>0.1355079366466069</v>
      </c>
      <c r="H97" s="17">
        <f>'Alloc Amt'!H97/'Alloc Amt'!$E97</f>
        <v>0.1522790431538332</v>
      </c>
      <c r="I97" s="17">
        <f>'Alloc Amt'!I97/'Alloc Amt'!$E97</f>
        <v>0.10219299162038284</v>
      </c>
      <c r="J97" s="17">
        <f>'Alloc Amt'!J97/'Alloc Amt'!$E97</f>
        <v>6.9188203423427616E-2</v>
      </c>
      <c r="K97" s="17">
        <f>'Alloc Amt'!K97/'Alloc Amt'!$E97</f>
        <v>3.0248914459986764E-4</v>
      </c>
      <c r="L97" s="17">
        <f>'Alloc Amt'!L97/'Alloc Amt'!$E97</f>
        <v>5.14990943567562E-3</v>
      </c>
      <c r="M97" s="17">
        <f>'Alloc Amt'!M97/'Alloc Amt'!$E97</f>
        <v>0</v>
      </c>
      <c r="N97" s="17">
        <f>'Alloc Amt'!N97/'Alloc Amt'!$E97</f>
        <v>3.064361829343484E-2</v>
      </c>
      <c r="O97" s="17">
        <f>'Alloc Amt'!O97/'Alloc Amt'!$E97</f>
        <v>0</v>
      </c>
      <c r="P97" s="17">
        <f>'Alloc Amt'!P97/'Alloc Amt'!$E97</f>
        <v>3.7533109838966223E-3</v>
      </c>
      <c r="Q97" s="17">
        <f>'Alloc Amt'!Q97/'Alloc Amt'!$E97</f>
        <v>2.970852598136613E-4</v>
      </c>
    </row>
    <row r="98" spans="2:17" x14ac:dyDescent="0.25">
      <c r="B98" s="16" t="str">
        <f>'Alloc Amt'!B98</f>
        <v>Hourly Trans. Gross Plt. - TY Loads</v>
      </c>
      <c r="C98" s="16">
        <f>'Alloc Amt'!C98</f>
        <v>0</v>
      </c>
      <c r="D98" s="16">
        <f>'Alloc Amt'!D98</f>
        <v>92</v>
      </c>
      <c r="E98" s="17">
        <f t="shared" ref="E98:E100" si="4">SUM(F98:Q98)</f>
        <v>1</v>
      </c>
      <c r="F98" s="17">
        <f>'Alloc Amt'!F98/'Alloc Amt'!$E98</f>
        <v>0.4666851257177585</v>
      </c>
      <c r="G98" s="17">
        <f>'Alloc Amt'!G98/'Alloc Amt'!$E98</f>
        <v>0.11925036396952399</v>
      </c>
      <c r="H98" s="17">
        <f>'Alloc Amt'!H98/'Alloc Amt'!$E98</f>
        <v>0.13274382414836214</v>
      </c>
      <c r="I98" s="17">
        <f>'Alloc Amt'!I98/'Alloc Amt'!$E98</f>
        <v>8.6322201683066493E-2</v>
      </c>
      <c r="J98" s="17">
        <f>'Alloc Amt'!J98/'Alloc Amt'!$E98</f>
        <v>6.0003240929065199E-2</v>
      </c>
      <c r="K98" s="17">
        <f>'Alloc Amt'!K98/'Alloc Amt'!$E98</f>
        <v>1.8756820708885606E-4</v>
      </c>
      <c r="L98" s="17">
        <f>'Alloc Amt'!L98/'Alloc Amt'!$E98</f>
        <v>4.9142700926683392E-3</v>
      </c>
      <c r="M98" s="17">
        <f>'Alloc Amt'!M98/'Alloc Amt'!$E98</f>
        <v>1.4896716795697497E-2</v>
      </c>
      <c r="N98" s="17">
        <f>'Alloc Amt'!N98/'Alloc Amt'!$E98</f>
        <v>2.6296178631897402E-2</v>
      </c>
      <c r="O98" s="17">
        <f>'Alloc Amt'!O98/'Alloc Amt'!$E98</f>
        <v>8.5256107652543656E-2</v>
      </c>
      <c r="P98" s="17">
        <f>'Alloc Amt'!P98/'Alloc Amt'!$E98</f>
        <v>3.1396808353509049E-3</v>
      </c>
      <c r="Q98" s="17">
        <f>'Alloc Amt'!Q98/'Alloc Amt'!$E98</f>
        <v>3.0472133697716046E-4</v>
      </c>
    </row>
    <row r="99" spans="2:17" x14ac:dyDescent="0.25">
      <c r="B99" s="16" t="str">
        <f>'Alloc Amt'!B99</f>
        <v>Hourly Trans. Accum. Depr.  - TY Loads</v>
      </c>
      <c r="C99" s="16">
        <f>'Alloc Amt'!C99</f>
        <v>0</v>
      </c>
      <c r="D99" s="16">
        <f>'Alloc Amt'!D99</f>
        <v>93</v>
      </c>
      <c r="E99" s="17">
        <f t="shared" si="4"/>
        <v>1.0000000000000002</v>
      </c>
      <c r="F99" s="17">
        <f>'Alloc Amt'!F99/'Alloc Amt'!$E99</f>
        <v>0.46668512571775933</v>
      </c>
      <c r="G99" s="17">
        <f>'Alloc Amt'!G99/'Alloc Amt'!$E99</f>
        <v>0.11925036396952357</v>
      </c>
      <c r="H99" s="17">
        <f>'Alloc Amt'!H99/'Alloc Amt'!$E99</f>
        <v>0.1327438241483623</v>
      </c>
      <c r="I99" s="17">
        <f>'Alloc Amt'!I99/'Alloc Amt'!$E99</f>
        <v>8.6322201683066049E-2</v>
      </c>
      <c r="J99" s="17">
        <f>'Alloc Amt'!J99/'Alloc Amt'!$E99</f>
        <v>6.0003240929064637E-2</v>
      </c>
      <c r="K99" s="17">
        <f>'Alloc Amt'!K99/'Alloc Amt'!$E99</f>
        <v>1.8756820708885408E-4</v>
      </c>
      <c r="L99" s="17">
        <f>'Alloc Amt'!L99/'Alloc Amt'!$E99</f>
        <v>4.9142700926683098E-3</v>
      </c>
      <c r="M99" s="17">
        <f>'Alloc Amt'!M99/'Alloc Amt'!$E99</f>
        <v>1.4896716795697498E-2</v>
      </c>
      <c r="N99" s="17">
        <f>'Alloc Amt'!N99/'Alloc Amt'!$E99</f>
        <v>2.6296178631897364E-2</v>
      </c>
      <c r="O99" s="17">
        <f>'Alloc Amt'!O99/'Alloc Amt'!$E99</f>
        <v>8.5256107652543864E-2</v>
      </c>
      <c r="P99" s="17">
        <f>'Alloc Amt'!P99/'Alloc Amt'!$E99</f>
        <v>3.1396808353511755E-3</v>
      </c>
      <c r="Q99" s="17">
        <f>'Alloc Amt'!Q99/'Alloc Amt'!$E99</f>
        <v>3.0472133697715949E-4</v>
      </c>
    </row>
    <row r="100" spans="2:17" x14ac:dyDescent="0.25">
      <c r="B100" s="16" t="str">
        <f>'Alloc Amt'!B100</f>
        <v>Hourly Trans. Depr. Exp. - TY Loads</v>
      </c>
      <c r="C100" s="16">
        <f>'Alloc Amt'!C100</f>
        <v>0</v>
      </c>
      <c r="D100" s="16">
        <f>'Alloc Amt'!D100</f>
        <v>94</v>
      </c>
      <c r="E100" s="17">
        <f t="shared" si="4"/>
        <v>1</v>
      </c>
      <c r="F100" s="17">
        <f>'Alloc Amt'!F100/'Alloc Amt'!$E100</f>
        <v>0.46668512571776</v>
      </c>
      <c r="G100" s="17">
        <f>'Alloc Amt'!G100/'Alloc Amt'!$E100</f>
        <v>0.11925036396952349</v>
      </c>
      <c r="H100" s="17">
        <f>'Alloc Amt'!H100/'Alloc Amt'!$E100</f>
        <v>0.13274382414836172</v>
      </c>
      <c r="I100" s="17">
        <f>'Alloc Amt'!I100/'Alloc Amt'!$E100</f>
        <v>8.6322201683066285E-2</v>
      </c>
      <c r="J100" s="17">
        <f>'Alloc Amt'!J100/'Alloc Amt'!$E100</f>
        <v>6.0003240929065137E-2</v>
      </c>
      <c r="K100" s="17">
        <f>'Alloc Amt'!K100/'Alloc Amt'!$E100</f>
        <v>1.8756820708884601E-4</v>
      </c>
      <c r="L100" s="17">
        <f>'Alloc Amt'!L100/'Alloc Amt'!$E100</f>
        <v>4.9142700926683375E-3</v>
      </c>
      <c r="M100" s="17">
        <f>'Alloc Amt'!M100/'Alloc Amt'!$E100</f>
        <v>1.4896716795697502E-2</v>
      </c>
      <c r="N100" s="17">
        <f>'Alloc Amt'!N100/'Alloc Amt'!$E100</f>
        <v>2.6296178631897295E-2</v>
      </c>
      <c r="O100" s="17">
        <f>'Alloc Amt'!O100/'Alloc Amt'!$E100</f>
        <v>8.5256107652543572E-2</v>
      </c>
      <c r="P100" s="17">
        <f>'Alloc Amt'!P100/'Alloc Amt'!$E100</f>
        <v>3.139680835350813E-3</v>
      </c>
      <c r="Q100" s="17">
        <f>'Alloc Amt'!Q100/'Alloc Amt'!$E100</f>
        <v>3.0472133697715878E-4</v>
      </c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A7F78-E2B6-4BCD-88CA-529289B2893E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0bb6117c-7237-4594-87be-1a98bf45b02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F087F-0D19-4EA5-AA02-D1B448780317}"/>
</file>

<file path=customXml/itemProps4.xml><?xml version="1.0" encoding="utf-8"?>
<ds:datastoreItem xmlns:ds="http://schemas.openxmlformats.org/officeDocument/2006/customXml" ds:itemID="{8786D0C5-94CB-4D65-BA61-626C7AE1F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Horne</dc:creator>
  <cp:lastModifiedBy>Patrick Horne</cp:lastModifiedBy>
  <cp:lastPrinted>2019-11-12T17:53:04Z</cp:lastPrinted>
  <dcterms:created xsi:type="dcterms:W3CDTF">2019-11-06T14:37:25Z</dcterms:created>
  <dcterms:modified xsi:type="dcterms:W3CDTF">2019-11-15T17:23:16Z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