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19443d10fe2268/Desktop/Puget Sound/"/>
    </mc:Choice>
  </mc:AlternateContent>
  <xr:revisionPtr revIDLastSave="101" documentId="8_{235425CF-B446-4834-B906-7714ED5EB3AE}" xr6:coauthVersionLast="45" xr6:coauthVersionMax="45" xr10:uidLastSave="{1B82CF9A-DF80-4421-ABFA-6780A8F204AA}"/>
  <bookViews>
    <workbookView xWindow="-120" yWindow="-120" windowWidth="20730" windowHeight="11160" activeTab="1" xr2:uid="{5E93F56E-A987-4255-A39F-B7561D7B951D}"/>
  </bookViews>
  <sheets>
    <sheet name="TOC" sheetId="8" r:id="rId1"/>
    <sheet name="Summary" sheetId="1" r:id="rId2"/>
    <sheet name="Rate Base" sheetId="2" r:id="rId3"/>
    <sheet name="Expenses" sheetId="3" r:id="rId4"/>
    <sheet name="Labor" sheetId="4" r:id="rId5"/>
    <sheet name="Revenue" sheetId="5" r:id="rId6"/>
    <sheet name="Alloc Amt" sheetId="6" r:id="rId7"/>
    <sheet name="Alloc Pct" sheetId="7" r:id="rId8"/>
  </sheets>
  <externalReferences>
    <externalReference r:id="rId9"/>
  </externalReferences>
  <definedNames>
    <definedName name="_xlnm._FilterDatabase" localSheetId="3" hidden="1">Expenses!$D$1:$D$193</definedName>
    <definedName name="_xlnm._FilterDatabase" localSheetId="2" hidden="1">'Rate Base'!$D$1:$D$179</definedName>
    <definedName name="Alloc">'Alloc Pct'!$B$7:$Q$111</definedName>
    <definedName name="_xlnm.Print_Area" localSheetId="2">'Rate Base'!$A$7:$R$162</definedName>
    <definedName name="_xlnm.Print_Area" localSheetId="1">Summary!$A$2:$R$60</definedName>
    <definedName name="ROR">[1]INPUTS!$F$29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L54" i="1"/>
  <c r="M49" i="1"/>
  <c r="L49" i="1"/>
  <c r="M47" i="1"/>
  <c r="L47" i="1"/>
  <c r="M46" i="1"/>
  <c r="L46" i="1"/>
  <c r="M42" i="1"/>
  <c r="L42" i="1"/>
  <c r="M34" i="1"/>
  <c r="L34" i="1"/>
  <c r="M32" i="1"/>
  <c r="L32" i="1"/>
  <c r="M31" i="1"/>
  <c r="L31" i="1"/>
  <c r="M29" i="1"/>
  <c r="L29" i="1"/>
  <c r="M28" i="1"/>
  <c r="L28" i="1"/>
  <c r="M27" i="1"/>
  <c r="L27" i="1"/>
  <c r="M22" i="1"/>
  <c r="L22" i="1"/>
  <c r="M14" i="1"/>
  <c r="L14" i="1"/>
  <c r="M11" i="1"/>
  <c r="L11" i="1"/>
  <c r="M10" i="1"/>
  <c r="L10" i="1"/>
  <c r="M9" i="1"/>
  <c r="L9" i="1"/>
  <c r="M8" i="1"/>
  <c r="L8" i="1"/>
  <c r="M1" i="1"/>
  <c r="N1" i="1" s="1"/>
  <c r="O1" i="1" s="1"/>
  <c r="P1" i="1" s="1"/>
  <c r="Q1" i="1" s="1"/>
  <c r="R1" i="1" s="1"/>
  <c r="L1" i="1"/>
  <c r="M53" i="5" l="1"/>
  <c r="L53" i="5"/>
  <c r="M52" i="5"/>
  <c r="L52" i="5"/>
  <c r="M45" i="5"/>
  <c r="L45" i="5"/>
  <c r="M37" i="5"/>
  <c r="L37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14" i="5"/>
  <c r="L14" i="5"/>
  <c r="M13" i="5"/>
  <c r="L13" i="5"/>
  <c r="M12" i="5"/>
  <c r="L12" i="5"/>
  <c r="M11" i="5"/>
  <c r="L11" i="5"/>
  <c r="M1" i="5"/>
  <c r="N1" i="5" s="1"/>
  <c r="O1" i="5" s="1"/>
  <c r="P1" i="5" s="1"/>
  <c r="Q1" i="5" s="1"/>
  <c r="R1" i="5" s="1"/>
  <c r="L1" i="5"/>
  <c r="M28" i="4"/>
  <c r="M29" i="4" s="1"/>
  <c r="L28" i="4"/>
  <c r="L29" i="4" s="1"/>
  <c r="L1" i="4"/>
  <c r="M1" i="4" s="1"/>
  <c r="N1" i="4" s="1"/>
  <c r="O1" i="4" s="1"/>
  <c r="P1" i="4" s="1"/>
  <c r="Q1" i="4" s="1"/>
  <c r="R1" i="4" s="1"/>
  <c r="M181" i="3"/>
  <c r="L181" i="3"/>
  <c r="M166" i="3"/>
  <c r="L166" i="3"/>
  <c r="M165" i="3"/>
  <c r="L165" i="3"/>
  <c r="M162" i="3"/>
  <c r="L162" i="3"/>
  <c r="M161" i="3"/>
  <c r="L161" i="3"/>
  <c r="M149" i="3"/>
  <c r="L149" i="3"/>
  <c r="M148" i="3"/>
  <c r="L148" i="3"/>
  <c r="M145" i="3"/>
  <c r="L145" i="3"/>
  <c r="M144" i="3"/>
  <c r="L144" i="3"/>
  <c r="M143" i="3"/>
  <c r="L143" i="3"/>
  <c r="M142" i="3"/>
  <c r="L142" i="3"/>
  <c r="M141" i="3"/>
  <c r="L141" i="3"/>
  <c r="M137" i="3"/>
  <c r="L137" i="3"/>
  <c r="M136" i="3"/>
  <c r="L136" i="3"/>
  <c r="M134" i="3"/>
  <c r="L134" i="3"/>
  <c r="M133" i="3"/>
  <c r="L133" i="3"/>
  <c r="M132" i="3"/>
  <c r="L132" i="3"/>
  <c r="M130" i="3"/>
  <c r="L130" i="3"/>
  <c r="M129" i="3"/>
  <c r="L129" i="3"/>
  <c r="M112" i="3"/>
  <c r="L112" i="3"/>
  <c r="M111" i="3"/>
  <c r="L111" i="3"/>
  <c r="M85" i="3"/>
  <c r="L85" i="3"/>
  <c r="M84" i="3"/>
  <c r="L84" i="3"/>
  <c r="M83" i="3"/>
  <c r="L83" i="3"/>
  <c r="M82" i="3"/>
  <c r="L82" i="3"/>
  <c r="M80" i="3"/>
  <c r="L80" i="3"/>
  <c r="M76" i="3"/>
  <c r="L76" i="3"/>
  <c r="M75" i="3"/>
  <c r="L75" i="3"/>
  <c r="M74" i="3"/>
  <c r="L74" i="3"/>
  <c r="M73" i="3"/>
  <c r="L73" i="3"/>
  <c r="M65" i="3"/>
  <c r="L65" i="3"/>
  <c r="M64" i="3"/>
  <c r="L64" i="3"/>
  <c r="M63" i="3"/>
  <c r="L63" i="3"/>
  <c r="M55" i="3"/>
  <c r="L55" i="3"/>
  <c r="M54" i="3"/>
  <c r="L54" i="3"/>
  <c r="M49" i="3"/>
  <c r="L49" i="3"/>
  <c r="M48" i="3"/>
  <c r="L48" i="3"/>
  <c r="M46" i="3"/>
  <c r="L46" i="3"/>
  <c r="M45" i="3"/>
  <c r="L45" i="3"/>
  <c r="M40" i="3"/>
  <c r="L40" i="3"/>
  <c r="M39" i="3"/>
  <c r="M41" i="3" s="1"/>
  <c r="L39" i="3"/>
  <c r="M35" i="3"/>
  <c r="L35" i="3"/>
  <c r="M34" i="3"/>
  <c r="L34" i="3"/>
  <c r="M26" i="3"/>
  <c r="L26" i="3"/>
  <c r="M25" i="3"/>
  <c r="M30" i="3" s="1"/>
  <c r="L25" i="3"/>
  <c r="M20" i="3"/>
  <c r="L20" i="3"/>
  <c r="M19" i="3"/>
  <c r="L19" i="3"/>
  <c r="M17" i="3"/>
  <c r="L17" i="3"/>
  <c r="M16" i="3"/>
  <c r="L16" i="3"/>
  <c r="L1" i="3"/>
  <c r="M1" i="3" s="1"/>
  <c r="N1" i="3" s="1"/>
  <c r="O1" i="3" s="1"/>
  <c r="P1" i="3" s="1"/>
  <c r="Q1" i="3" s="1"/>
  <c r="R1" i="3" s="1"/>
  <c r="L1" i="2"/>
  <c r="L146" i="2"/>
  <c r="L144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96" i="2"/>
  <c r="L94" i="2"/>
  <c r="L93" i="2"/>
  <c r="L58" i="2"/>
  <c r="L57" i="2"/>
  <c r="K67" i="6" s="1"/>
  <c r="L56" i="2"/>
  <c r="L55" i="2"/>
  <c r="K66" i="6" s="1"/>
  <c r="L54" i="2"/>
  <c r="L53" i="2"/>
  <c r="L52" i="2"/>
  <c r="K65" i="6" s="1"/>
  <c r="L51" i="2"/>
  <c r="L50" i="2"/>
  <c r="L49" i="2"/>
  <c r="L48" i="2"/>
  <c r="L46" i="2"/>
  <c r="L45" i="2"/>
  <c r="L44" i="2"/>
  <c r="L43" i="2"/>
  <c r="K62" i="6" s="1"/>
  <c r="L42" i="2"/>
  <c r="L41" i="2"/>
  <c r="L40" i="2"/>
  <c r="L39" i="2"/>
  <c r="L35" i="2"/>
  <c r="L34" i="2"/>
  <c r="L29" i="2"/>
  <c r="L28" i="2"/>
  <c r="L26" i="2"/>
  <c r="L25" i="2"/>
  <c r="L20" i="2"/>
  <c r="L21" i="2" s="1"/>
  <c r="L19" i="2"/>
  <c r="M15" i="5"/>
  <c r="L36" i="3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K70" i="6" l="1"/>
  <c r="L70" i="6"/>
  <c r="K77" i="6"/>
  <c r="M21" i="3"/>
  <c r="L15" i="5"/>
  <c r="K60" i="6"/>
  <c r="K63" i="6"/>
  <c r="L30" i="3"/>
  <c r="K79" i="6"/>
  <c r="K64" i="6"/>
  <c r="K61" i="6"/>
  <c r="M36" i="3"/>
  <c r="L41" i="3"/>
  <c r="L21" i="3"/>
  <c r="L56" i="3"/>
  <c r="M56" i="3"/>
  <c r="M1" i="2"/>
  <c r="L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33" i="2"/>
  <c r="C125" i="2"/>
  <c r="C126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95" i="2"/>
  <c r="C96" i="2"/>
  <c r="C97" i="2"/>
  <c r="C93" i="2"/>
  <c r="C94" i="2"/>
  <c r="C86" i="2"/>
  <c r="C87" i="2"/>
  <c r="C88" i="2"/>
  <c r="C80" i="2"/>
  <c r="C81" i="2"/>
  <c r="C82" i="2"/>
  <c r="C63" i="2"/>
  <c r="C64" i="2"/>
  <c r="C65" i="2"/>
  <c r="C66" i="2"/>
  <c r="C67" i="2"/>
  <c r="C68" i="2"/>
  <c r="C69" i="2"/>
  <c r="C70" i="2"/>
  <c r="C71" i="2"/>
  <c r="C72" i="2"/>
  <c r="C73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34" i="2"/>
  <c r="C35" i="2"/>
  <c r="C31" i="2"/>
  <c r="C28" i="2"/>
  <c r="C29" i="2"/>
  <c r="C25" i="2"/>
  <c r="C26" i="2"/>
  <c r="C19" i="2"/>
  <c r="C20" i="2"/>
  <c r="C14" i="2"/>
  <c r="C15" i="2"/>
  <c r="C13" i="2"/>
  <c r="C47" i="1"/>
  <c r="C48" i="1"/>
  <c r="C49" i="1"/>
  <c r="C46" i="1"/>
  <c r="K88" i="6" l="1"/>
  <c r="L78" i="6"/>
  <c r="K78" i="6"/>
  <c r="M120" i="2"/>
  <c r="M112" i="2"/>
  <c r="M104" i="2"/>
  <c r="M58" i="2"/>
  <c r="M144" i="2"/>
  <c r="M119" i="2"/>
  <c r="M111" i="2"/>
  <c r="M103" i="2"/>
  <c r="M93" i="2"/>
  <c r="M57" i="2"/>
  <c r="L67" i="6" s="1"/>
  <c r="M53" i="2"/>
  <c r="M49" i="2"/>
  <c r="L64" i="6" s="1"/>
  <c r="M44" i="2"/>
  <c r="M40" i="2"/>
  <c r="M29" i="2"/>
  <c r="M20" i="2"/>
  <c r="M25" i="2"/>
  <c r="M118" i="2"/>
  <c r="M110" i="2"/>
  <c r="M102" i="2"/>
  <c r="M54" i="2"/>
  <c r="M117" i="2"/>
  <c r="M109" i="2"/>
  <c r="M101" i="2"/>
  <c r="M96" i="2"/>
  <c r="M56" i="2"/>
  <c r="M52" i="2"/>
  <c r="M48" i="2"/>
  <c r="M43" i="2"/>
  <c r="L62" i="6" s="1"/>
  <c r="M39" i="2"/>
  <c r="L60" i="6" s="1"/>
  <c r="M28" i="2"/>
  <c r="M19" i="2"/>
  <c r="M21" i="2" s="1"/>
  <c r="M105" i="2"/>
  <c r="M45" i="2"/>
  <c r="N1" i="2"/>
  <c r="O1" i="2" s="1"/>
  <c r="P1" i="2" s="1"/>
  <c r="Q1" i="2" s="1"/>
  <c r="R1" i="2" s="1"/>
  <c r="M116" i="2"/>
  <c r="M108" i="2"/>
  <c r="M34" i="2"/>
  <c r="M146" i="2"/>
  <c r="M115" i="2"/>
  <c r="M107" i="2"/>
  <c r="M55" i="2"/>
  <c r="L66" i="6" s="1"/>
  <c r="M51" i="2"/>
  <c r="M46" i="2"/>
  <c r="L77" i="6" s="1"/>
  <c r="M42" i="2"/>
  <c r="M35" i="2"/>
  <c r="M26" i="2"/>
  <c r="M94" i="2"/>
  <c r="M50" i="2"/>
  <c r="M114" i="2"/>
  <c r="M106" i="2"/>
  <c r="M113" i="2"/>
  <c r="M41" i="2"/>
  <c r="L61" i="6" s="1"/>
  <c r="T58" i="1"/>
  <c r="T57" i="1"/>
  <c r="T52" i="1"/>
  <c r="T50" i="1"/>
  <c r="T45" i="1"/>
  <c r="T44" i="1"/>
  <c r="T41" i="1"/>
  <c r="T40" i="1"/>
  <c r="T39" i="1"/>
  <c r="T38" i="1"/>
  <c r="T35" i="1"/>
  <c r="T33" i="1"/>
  <c r="T30" i="1"/>
  <c r="T26" i="1"/>
  <c r="T25" i="1"/>
  <c r="T23" i="1"/>
  <c r="T21" i="1"/>
  <c r="T20" i="1"/>
  <c r="T19" i="1"/>
  <c r="T17" i="1"/>
  <c r="T12" i="1"/>
  <c r="L65" i="6" l="1"/>
  <c r="L63" i="6"/>
  <c r="L79" i="6"/>
  <c r="M36" i="2"/>
  <c r="F182" i="3"/>
  <c r="L88" i="6" l="1"/>
  <c r="T36" i="4"/>
  <c r="T58" i="3"/>
  <c r="T57" i="3"/>
  <c r="T53" i="3"/>
  <c r="T52" i="3"/>
  <c r="T50" i="3"/>
  <c r="T47" i="3"/>
  <c r="T44" i="3"/>
  <c r="T43" i="3"/>
  <c r="T42" i="3"/>
  <c r="T38" i="3"/>
  <c r="T37" i="3"/>
  <c r="T33" i="3"/>
  <c r="T32" i="3"/>
  <c r="T31" i="3"/>
  <c r="T29" i="3"/>
  <c r="T28" i="3"/>
  <c r="T27" i="3"/>
  <c r="T24" i="3"/>
  <c r="T23" i="3"/>
  <c r="T22" i="3"/>
  <c r="T18" i="3"/>
  <c r="T191" i="3"/>
  <c r="T190" i="3"/>
  <c r="T188" i="3"/>
  <c r="T184" i="3"/>
  <c r="T183" i="3"/>
  <c r="T180" i="3"/>
  <c r="T176" i="3"/>
  <c r="T175" i="3"/>
  <c r="T164" i="3"/>
  <c r="T160" i="3"/>
  <c r="T157" i="3"/>
  <c r="T135" i="3"/>
  <c r="T131" i="3"/>
  <c r="T128" i="3"/>
  <c r="T124" i="3"/>
  <c r="T123" i="3"/>
  <c r="T121" i="3"/>
  <c r="T119" i="3"/>
  <c r="T116" i="3"/>
  <c r="T115" i="3"/>
  <c r="T105" i="3"/>
  <c r="T104" i="3"/>
  <c r="T102" i="3"/>
  <c r="T33" i="2"/>
  <c r="T32" i="2"/>
  <c r="T30" i="2"/>
  <c r="T27" i="2"/>
  <c r="T24" i="2"/>
  <c r="T172" i="2"/>
  <c r="T171" i="2"/>
  <c r="T170" i="2"/>
  <c r="T169" i="2"/>
  <c r="T168" i="2"/>
  <c r="T167" i="2"/>
  <c r="T166" i="2"/>
  <c r="T164" i="2"/>
  <c r="T163" i="2"/>
  <c r="T161" i="2"/>
  <c r="T159" i="2"/>
  <c r="T136" i="2"/>
  <c r="T135" i="2"/>
  <c r="T132" i="2"/>
  <c r="T131" i="2"/>
  <c r="T130" i="2"/>
  <c r="T128" i="2"/>
  <c r="T124" i="2"/>
  <c r="T123" i="2"/>
  <c r="T75" i="2"/>
  <c r="T47" i="2"/>
  <c r="F56" i="5" l="1"/>
  <c r="F54" i="5"/>
  <c r="F20" i="5"/>
  <c r="F15" i="5"/>
  <c r="T58" i="5"/>
  <c r="T57" i="5"/>
  <c r="T55" i="5"/>
  <c r="T22" i="5"/>
  <c r="T21" i="5"/>
  <c r="T19" i="5"/>
  <c r="T17" i="5"/>
  <c r="T16" i="5"/>
  <c r="F187" i="3"/>
  <c r="F94" i="2" l="1"/>
  <c r="F93" i="2"/>
  <c r="F166" i="3"/>
  <c r="F165" i="3"/>
  <c r="F162" i="3"/>
  <c r="F161" i="3"/>
  <c r="F137" i="3"/>
  <c r="F136" i="3"/>
  <c r="F133" i="3"/>
  <c r="F132" i="3"/>
  <c r="F130" i="3"/>
  <c r="F129" i="3"/>
  <c r="F118" i="3"/>
  <c r="F101" i="3"/>
  <c r="F88" i="3"/>
  <c r="F69" i="3"/>
  <c r="F114" i="3"/>
  <c r="F55" i="3"/>
  <c r="F54" i="3"/>
  <c r="F51" i="3"/>
  <c r="F49" i="3"/>
  <c r="F48" i="3"/>
  <c r="F46" i="3"/>
  <c r="F45" i="3"/>
  <c r="F77" i="3"/>
  <c r="F41" i="4"/>
  <c r="F39" i="4"/>
  <c r="F37" i="4"/>
  <c r="F31" i="4"/>
  <c r="F29" i="4"/>
  <c r="F25" i="4"/>
  <c r="F21" i="4"/>
  <c r="F17" i="4"/>
  <c r="F13" i="4"/>
  <c r="G1" i="4"/>
  <c r="H1" i="4" s="1"/>
  <c r="I1" i="4" s="1"/>
  <c r="J1" i="4" s="1"/>
  <c r="K1" i="4" s="1"/>
  <c r="F40" i="3"/>
  <c r="F41" i="3" s="1"/>
  <c r="F39" i="3"/>
  <c r="F35" i="3"/>
  <c r="F34" i="3"/>
  <c r="F26" i="3"/>
  <c r="F25" i="3"/>
  <c r="F20" i="3"/>
  <c r="F19" i="3"/>
  <c r="F17" i="3"/>
  <c r="F16" i="3"/>
  <c r="F1" i="3"/>
  <c r="G1" i="3" s="1"/>
  <c r="F35" i="2"/>
  <c r="F34" i="2"/>
  <c r="F31" i="2"/>
  <c r="F29" i="2"/>
  <c r="F28" i="2"/>
  <c r="F26" i="2"/>
  <c r="F25" i="2"/>
  <c r="F20" i="2"/>
  <c r="F19" i="2"/>
  <c r="F1" i="2"/>
  <c r="G1" i="2" s="1"/>
  <c r="H1" i="2" s="1"/>
  <c r="I1" i="2" s="1"/>
  <c r="J1" i="2" s="1"/>
  <c r="K1" i="2" s="1"/>
  <c r="F134" i="2"/>
  <c r="F127" i="2"/>
  <c r="F122" i="2"/>
  <c r="F89" i="2"/>
  <c r="F83" i="2"/>
  <c r="F74" i="2"/>
  <c r="F60" i="2"/>
  <c r="F16" i="2"/>
  <c r="Q58" i="7"/>
  <c r="P58" i="7"/>
  <c r="O58" i="7"/>
  <c r="N58" i="7"/>
  <c r="M58" i="7"/>
  <c r="J58" i="7"/>
  <c r="I58" i="7"/>
  <c r="H58" i="7"/>
  <c r="G58" i="7"/>
  <c r="F58" i="7"/>
  <c r="Q57" i="7"/>
  <c r="P57" i="7"/>
  <c r="O57" i="7"/>
  <c r="N57" i="7"/>
  <c r="M57" i="7"/>
  <c r="J57" i="7"/>
  <c r="I57" i="7"/>
  <c r="H57" i="7"/>
  <c r="G57" i="7"/>
  <c r="F57" i="7"/>
  <c r="Q56" i="7"/>
  <c r="P56" i="7"/>
  <c r="O56" i="7"/>
  <c r="N56" i="7"/>
  <c r="M56" i="7"/>
  <c r="J56" i="7"/>
  <c r="I56" i="7"/>
  <c r="H56" i="7"/>
  <c r="G56" i="7"/>
  <c r="F56" i="7"/>
  <c r="Q55" i="7"/>
  <c r="R37" i="5" s="1"/>
  <c r="P55" i="7"/>
  <c r="Q37" i="5" s="1"/>
  <c r="O55" i="7"/>
  <c r="P37" i="5" s="1"/>
  <c r="N55" i="7"/>
  <c r="O37" i="5" s="1"/>
  <c r="M55" i="7"/>
  <c r="N37" i="5" s="1"/>
  <c r="J55" i="7"/>
  <c r="K37" i="5" s="1"/>
  <c r="I55" i="7"/>
  <c r="J37" i="5" s="1"/>
  <c r="H55" i="7"/>
  <c r="I37" i="5" s="1"/>
  <c r="G55" i="7"/>
  <c r="H37" i="5" s="1"/>
  <c r="F55" i="7"/>
  <c r="G37" i="5" s="1"/>
  <c r="Q54" i="7"/>
  <c r="P54" i="7"/>
  <c r="O54" i="7"/>
  <c r="N54" i="7"/>
  <c r="M54" i="7"/>
  <c r="J54" i="7"/>
  <c r="I54" i="7"/>
  <c r="H54" i="7"/>
  <c r="G54" i="7"/>
  <c r="F54" i="7"/>
  <c r="Q53" i="7"/>
  <c r="P53" i="7"/>
  <c r="O53" i="7"/>
  <c r="N53" i="7"/>
  <c r="M53" i="7"/>
  <c r="J53" i="7"/>
  <c r="I53" i="7"/>
  <c r="H53" i="7"/>
  <c r="I51" i="2" s="1"/>
  <c r="G53" i="7"/>
  <c r="F53" i="7"/>
  <c r="Q52" i="7"/>
  <c r="P52" i="7"/>
  <c r="O52" i="7"/>
  <c r="N52" i="7"/>
  <c r="M52" i="7"/>
  <c r="J52" i="7"/>
  <c r="K115" i="2" s="1"/>
  <c r="I52" i="7"/>
  <c r="H52" i="7"/>
  <c r="G52" i="7"/>
  <c r="F52" i="7"/>
  <c r="Q51" i="7"/>
  <c r="P51" i="7"/>
  <c r="O51" i="7"/>
  <c r="N51" i="7"/>
  <c r="O110" i="2" s="1"/>
  <c r="M51" i="7"/>
  <c r="J51" i="7"/>
  <c r="I51" i="7"/>
  <c r="H51" i="7"/>
  <c r="G51" i="7"/>
  <c r="F51" i="7"/>
  <c r="Q50" i="7"/>
  <c r="P50" i="7"/>
  <c r="Q44" i="2" s="1"/>
  <c r="O50" i="7"/>
  <c r="N50" i="7"/>
  <c r="M50" i="7"/>
  <c r="J50" i="7"/>
  <c r="I50" i="7"/>
  <c r="H50" i="7"/>
  <c r="G50" i="7"/>
  <c r="F50" i="7"/>
  <c r="Q49" i="7"/>
  <c r="P49" i="7"/>
  <c r="O49" i="7"/>
  <c r="N49" i="7"/>
  <c r="M49" i="7"/>
  <c r="J49" i="7"/>
  <c r="I49" i="7"/>
  <c r="H49" i="7"/>
  <c r="I42" i="2" s="1"/>
  <c r="G49" i="7"/>
  <c r="F49" i="7"/>
  <c r="Q48" i="7"/>
  <c r="P48" i="7"/>
  <c r="O48" i="7"/>
  <c r="N48" i="7"/>
  <c r="M48" i="7"/>
  <c r="J48" i="7"/>
  <c r="K102" i="2" s="1"/>
  <c r="I48" i="7"/>
  <c r="H48" i="7"/>
  <c r="G48" i="7"/>
  <c r="H102" i="2" s="1"/>
  <c r="F48" i="7"/>
  <c r="Q47" i="7"/>
  <c r="P47" i="7"/>
  <c r="O47" i="7"/>
  <c r="N47" i="7"/>
  <c r="O54" i="2" s="1"/>
  <c r="M47" i="7"/>
  <c r="J47" i="7"/>
  <c r="I47" i="7"/>
  <c r="J114" i="2" s="1"/>
  <c r="H47" i="7"/>
  <c r="G47" i="7"/>
  <c r="F47" i="7"/>
  <c r="Q46" i="7"/>
  <c r="P46" i="7"/>
  <c r="Q49" i="2" s="1"/>
  <c r="O46" i="7"/>
  <c r="N46" i="7"/>
  <c r="M46" i="7"/>
  <c r="N49" i="2" s="1"/>
  <c r="J46" i="7"/>
  <c r="I46" i="7"/>
  <c r="H46" i="7"/>
  <c r="G46" i="7"/>
  <c r="F46" i="7"/>
  <c r="Q45" i="7"/>
  <c r="P45" i="7"/>
  <c r="O45" i="7"/>
  <c r="N45" i="7"/>
  <c r="M45" i="7"/>
  <c r="J45" i="7"/>
  <c r="I45" i="7"/>
  <c r="H45" i="7"/>
  <c r="G45" i="7"/>
  <c r="F45" i="7"/>
  <c r="Q44" i="7"/>
  <c r="P44" i="7"/>
  <c r="O44" i="7"/>
  <c r="N44" i="7"/>
  <c r="M44" i="7"/>
  <c r="J44" i="7"/>
  <c r="I44" i="7"/>
  <c r="H44" i="7"/>
  <c r="G44" i="7"/>
  <c r="H43" i="2" s="1"/>
  <c r="F44" i="7"/>
  <c r="Q43" i="7"/>
  <c r="P43" i="7"/>
  <c r="O43" i="7"/>
  <c r="N43" i="7"/>
  <c r="O41" i="2" s="1"/>
  <c r="M43" i="7"/>
  <c r="J43" i="7"/>
  <c r="I43" i="7"/>
  <c r="J41" i="2" s="1"/>
  <c r="H43" i="7"/>
  <c r="G43" i="7"/>
  <c r="F43" i="7"/>
  <c r="Q42" i="7"/>
  <c r="P42" i="7"/>
  <c r="Q39" i="2" s="1"/>
  <c r="O42" i="7"/>
  <c r="N42" i="7"/>
  <c r="M42" i="7"/>
  <c r="N39" i="2" s="1"/>
  <c r="J42" i="7"/>
  <c r="I42" i="7"/>
  <c r="H42" i="7"/>
  <c r="G42" i="7"/>
  <c r="F42" i="7"/>
  <c r="Q41" i="7"/>
  <c r="P41" i="7"/>
  <c r="O41" i="7"/>
  <c r="N41" i="7"/>
  <c r="M41" i="7"/>
  <c r="J41" i="7"/>
  <c r="I41" i="7"/>
  <c r="H41" i="7"/>
  <c r="I111" i="2" s="1"/>
  <c r="G41" i="7"/>
  <c r="F41" i="7"/>
  <c r="Q40" i="7"/>
  <c r="P40" i="7"/>
  <c r="O40" i="7"/>
  <c r="N40" i="7"/>
  <c r="M40" i="7"/>
  <c r="J40" i="7"/>
  <c r="K109" i="2" s="1"/>
  <c r="I40" i="7"/>
  <c r="H40" i="7"/>
  <c r="G40" i="7"/>
  <c r="H109" i="2" s="1"/>
  <c r="F40" i="7"/>
  <c r="Q39" i="7"/>
  <c r="P39" i="7"/>
  <c r="O39" i="7"/>
  <c r="N39" i="7"/>
  <c r="O105" i="2" s="1"/>
  <c r="M39" i="7"/>
  <c r="J39" i="7"/>
  <c r="I39" i="7"/>
  <c r="J105" i="2" s="1"/>
  <c r="H39" i="7"/>
  <c r="G39" i="7"/>
  <c r="F39" i="7"/>
  <c r="Q38" i="7"/>
  <c r="P38" i="7"/>
  <c r="Q103" i="2" s="1"/>
  <c r="O38" i="7"/>
  <c r="N38" i="7"/>
  <c r="M38" i="7"/>
  <c r="N103" i="2" s="1"/>
  <c r="J38" i="7"/>
  <c r="I38" i="7"/>
  <c r="H38" i="7"/>
  <c r="G38" i="7"/>
  <c r="F38" i="7"/>
  <c r="Q37" i="7"/>
  <c r="P37" i="7"/>
  <c r="O37" i="7"/>
  <c r="N37" i="7"/>
  <c r="M37" i="7"/>
  <c r="J37" i="7"/>
  <c r="I37" i="7"/>
  <c r="H37" i="7"/>
  <c r="I101" i="2" s="1"/>
  <c r="G37" i="7"/>
  <c r="F37" i="7"/>
  <c r="Q36" i="7"/>
  <c r="P36" i="7"/>
  <c r="O36" i="7"/>
  <c r="N36" i="7"/>
  <c r="M36" i="7"/>
  <c r="J36" i="7"/>
  <c r="I36" i="7"/>
  <c r="H36" i="7"/>
  <c r="G36" i="7"/>
  <c r="F36" i="7"/>
  <c r="Q35" i="7"/>
  <c r="P35" i="7"/>
  <c r="O35" i="7"/>
  <c r="N35" i="7"/>
  <c r="M35" i="7"/>
  <c r="J35" i="7"/>
  <c r="I35" i="7"/>
  <c r="H35" i="7"/>
  <c r="G35" i="7"/>
  <c r="F35" i="7"/>
  <c r="Q34" i="7"/>
  <c r="P34" i="7"/>
  <c r="O34" i="7"/>
  <c r="N34" i="7"/>
  <c r="M34" i="7"/>
  <c r="J34" i="7"/>
  <c r="I34" i="7"/>
  <c r="H34" i="7"/>
  <c r="G34" i="7"/>
  <c r="F34" i="7"/>
  <c r="E34" i="7" s="1"/>
  <c r="Q33" i="7"/>
  <c r="P33" i="7"/>
  <c r="O33" i="7"/>
  <c r="N33" i="7"/>
  <c r="M33" i="7"/>
  <c r="J33" i="7"/>
  <c r="I33" i="7"/>
  <c r="H33" i="7"/>
  <c r="G33" i="7"/>
  <c r="F33" i="7"/>
  <c r="E33" i="7" s="1"/>
  <c r="Q32" i="7"/>
  <c r="P32" i="7"/>
  <c r="O32" i="7"/>
  <c r="N32" i="7"/>
  <c r="M32" i="7"/>
  <c r="J32" i="7"/>
  <c r="I32" i="7"/>
  <c r="H32" i="7"/>
  <c r="G32" i="7"/>
  <c r="F32" i="7"/>
  <c r="E32" i="7" s="1"/>
  <c r="Q31" i="7"/>
  <c r="P31" i="7"/>
  <c r="O31" i="7"/>
  <c r="N31" i="7"/>
  <c r="M31" i="7"/>
  <c r="J31" i="7"/>
  <c r="I31" i="7"/>
  <c r="H31" i="7"/>
  <c r="G31" i="7"/>
  <c r="F31" i="7"/>
  <c r="E31" i="7" s="1"/>
  <c r="Q30" i="7"/>
  <c r="P30" i="7"/>
  <c r="Q118" i="2" s="1"/>
  <c r="O30" i="7"/>
  <c r="N30" i="7"/>
  <c r="M30" i="7"/>
  <c r="N118" i="2" s="1"/>
  <c r="J30" i="7"/>
  <c r="I30" i="7"/>
  <c r="H30" i="7"/>
  <c r="G30" i="7"/>
  <c r="F30" i="7"/>
  <c r="Q29" i="7"/>
  <c r="P29" i="7"/>
  <c r="Q11" i="5" s="1"/>
  <c r="O29" i="7"/>
  <c r="N29" i="7"/>
  <c r="O11" i="5" s="1"/>
  <c r="M29" i="7"/>
  <c r="N11" i="5" s="1"/>
  <c r="J29" i="7"/>
  <c r="K11" i="5" s="1"/>
  <c r="I29" i="7"/>
  <c r="J11" i="5" s="1"/>
  <c r="H29" i="7"/>
  <c r="I11" i="5" s="1"/>
  <c r="G29" i="7"/>
  <c r="H11" i="5" s="1"/>
  <c r="F29" i="7"/>
  <c r="G11" i="5" s="1"/>
  <c r="Q28" i="7"/>
  <c r="P28" i="7"/>
  <c r="O28" i="7"/>
  <c r="N28" i="7"/>
  <c r="M28" i="7"/>
  <c r="J28" i="7"/>
  <c r="I28" i="7"/>
  <c r="H28" i="7"/>
  <c r="G28" i="7"/>
  <c r="F28" i="7"/>
  <c r="Q27" i="7"/>
  <c r="P27" i="7"/>
  <c r="O27" i="7"/>
  <c r="N27" i="7"/>
  <c r="M27" i="7"/>
  <c r="J27" i="7"/>
  <c r="I27" i="7"/>
  <c r="H27" i="7"/>
  <c r="G27" i="7"/>
  <c r="F27" i="7"/>
  <c r="E27" i="7" s="1"/>
  <c r="Q26" i="7"/>
  <c r="P26" i="7"/>
  <c r="Q117" i="2" s="1"/>
  <c r="O26" i="7"/>
  <c r="N26" i="7"/>
  <c r="M26" i="7"/>
  <c r="N55" i="2" s="1"/>
  <c r="J26" i="7"/>
  <c r="I26" i="7"/>
  <c r="H26" i="7"/>
  <c r="G26" i="7"/>
  <c r="F26" i="7"/>
  <c r="Q25" i="7"/>
  <c r="P25" i="7"/>
  <c r="O25" i="7"/>
  <c r="N25" i="7"/>
  <c r="M25" i="7"/>
  <c r="J25" i="7"/>
  <c r="I25" i="7"/>
  <c r="H25" i="7"/>
  <c r="I119" i="2" s="1"/>
  <c r="G25" i="7"/>
  <c r="F25" i="7"/>
  <c r="Q24" i="7"/>
  <c r="P24" i="7"/>
  <c r="O24" i="7"/>
  <c r="N24" i="7"/>
  <c r="M24" i="7"/>
  <c r="J24" i="7"/>
  <c r="I24" i="7"/>
  <c r="H24" i="7"/>
  <c r="G24" i="7"/>
  <c r="F24" i="7"/>
  <c r="Q23" i="7"/>
  <c r="R30" i="5" s="1"/>
  <c r="P23" i="7"/>
  <c r="Q30" i="5" s="1"/>
  <c r="O23" i="7"/>
  <c r="P30" i="5" s="1"/>
  <c r="N23" i="7"/>
  <c r="O30" i="5" s="1"/>
  <c r="M23" i="7"/>
  <c r="N30" i="5" s="1"/>
  <c r="J23" i="7"/>
  <c r="K30" i="5" s="1"/>
  <c r="I23" i="7"/>
  <c r="J30" i="5" s="1"/>
  <c r="H23" i="7"/>
  <c r="I30" i="5" s="1"/>
  <c r="G23" i="7"/>
  <c r="H30" i="5" s="1"/>
  <c r="F23" i="7"/>
  <c r="G30" i="5" s="1"/>
  <c r="Q22" i="7"/>
  <c r="R29" i="5" s="1"/>
  <c r="P22" i="7"/>
  <c r="Q29" i="5" s="1"/>
  <c r="O22" i="7"/>
  <c r="N22" i="7"/>
  <c r="O29" i="5" s="1"/>
  <c r="M22" i="7"/>
  <c r="N29" i="5" s="1"/>
  <c r="J22" i="7"/>
  <c r="K29" i="5" s="1"/>
  <c r="I22" i="7"/>
  <c r="J29" i="5" s="1"/>
  <c r="H22" i="7"/>
  <c r="I29" i="5" s="1"/>
  <c r="G22" i="7"/>
  <c r="H29" i="5" s="1"/>
  <c r="F22" i="7"/>
  <c r="G29" i="5" s="1"/>
  <c r="Q21" i="7"/>
  <c r="P21" i="7"/>
  <c r="Q26" i="5" s="1"/>
  <c r="O21" i="7"/>
  <c r="N21" i="7"/>
  <c r="O26" i="5" s="1"/>
  <c r="M21" i="7"/>
  <c r="N26" i="5" s="1"/>
  <c r="J21" i="7"/>
  <c r="K26" i="5" s="1"/>
  <c r="I21" i="7"/>
  <c r="J26" i="5" s="1"/>
  <c r="H21" i="7"/>
  <c r="I26" i="5" s="1"/>
  <c r="G21" i="7"/>
  <c r="H26" i="5" s="1"/>
  <c r="F21" i="7"/>
  <c r="G26" i="5" s="1"/>
  <c r="Q20" i="7"/>
  <c r="P20" i="7"/>
  <c r="O20" i="7"/>
  <c r="P24" i="5" s="1"/>
  <c r="N20" i="7"/>
  <c r="O24" i="5" s="1"/>
  <c r="M20" i="7"/>
  <c r="N24" i="5" s="1"/>
  <c r="J20" i="7"/>
  <c r="K24" i="5" s="1"/>
  <c r="I20" i="7"/>
  <c r="J24" i="5" s="1"/>
  <c r="H20" i="7"/>
  <c r="I24" i="5" s="1"/>
  <c r="G20" i="7"/>
  <c r="H24" i="5" s="1"/>
  <c r="F20" i="7"/>
  <c r="G24" i="5" s="1"/>
  <c r="Q19" i="7"/>
  <c r="R23" i="5" s="1"/>
  <c r="P19" i="7"/>
  <c r="Q23" i="5" s="1"/>
  <c r="O19" i="7"/>
  <c r="P23" i="5" s="1"/>
  <c r="N19" i="7"/>
  <c r="O23" i="5" s="1"/>
  <c r="M19" i="7"/>
  <c r="N23" i="5" s="1"/>
  <c r="J19" i="7"/>
  <c r="K23" i="5" s="1"/>
  <c r="I19" i="7"/>
  <c r="J23" i="5" s="1"/>
  <c r="H19" i="7"/>
  <c r="I23" i="5" s="1"/>
  <c r="G19" i="7"/>
  <c r="H23" i="5" s="1"/>
  <c r="F19" i="7"/>
  <c r="G23" i="5" s="1"/>
  <c r="Q18" i="7"/>
  <c r="R45" i="5" s="1"/>
  <c r="P18" i="7"/>
  <c r="Q45" i="5" s="1"/>
  <c r="O18" i="7"/>
  <c r="N18" i="7"/>
  <c r="O45" i="5" s="1"/>
  <c r="M18" i="7"/>
  <c r="J18" i="7"/>
  <c r="K45" i="5" s="1"/>
  <c r="I18" i="7"/>
  <c r="J45" i="5" s="1"/>
  <c r="H18" i="7"/>
  <c r="I45" i="5" s="1"/>
  <c r="G18" i="7"/>
  <c r="H45" i="5" s="1"/>
  <c r="F18" i="7"/>
  <c r="G45" i="5" s="1"/>
  <c r="Q17" i="7"/>
  <c r="P17" i="7"/>
  <c r="O17" i="7"/>
  <c r="N17" i="7"/>
  <c r="M17" i="7"/>
  <c r="J17" i="7"/>
  <c r="I17" i="7"/>
  <c r="H17" i="7"/>
  <c r="G17" i="7"/>
  <c r="F17" i="7"/>
  <c r="Q16" i="7"/>
  <c r="P16" i="7"/>
  <c r="O16" i="7"/>
  <c r="P31" i="5" s="1"/>
  <c r="N16" i="7"/>
  <c r="O31" i="5" s="1"/>
  <c r="M16" i="7"/>
  <c r="N31" i="5" s="1"/>
  <c r="J16" i="7"/>
  <c r="K31" i="5" s="1"/>
  <c r="I16" i="7"/>
  <c r="J31" i="5" s="1"/>
  <c r="H16" i="7"/>
  <c r="I31" i="5" s="1"/>
  <c r="G16" i="7"/>
  <c r="H31" i="5" s="1"/>
  <c r="F16" i="7"/>
  <c r="G31" i="5" s="1"/>
  <c r="Q15" i="7"/>
  <c r="P15" i="7"/>
  <c r="O15" i="7"/>
  <c r="N15" i="7"/>
  <c r="M15" i="7"/>
  <c r="J15" i="7"/>
  <c r="I15" i="7"/>
  <c r="H15" i="7"/>
  <c r="G15" i="7"/>
  <c r="F15" i="7"/>
  <c r="Q14" i="7"/>
  <c r="R14" i="5" s="1"/>
  <c r="P14" i="7"/>
  <c r="Q14" i="5" s="1"/>
  <c r="O14" i="7"/>
  <c r="N14" i="7"/>
  <c r="O14" i="5" s="1"/>
  <c r="M14" i="7"/>
  <c r="N14" i="5" s="1"/>
  <c r="J14" i="7"/>
  <c r="K14" i="5" s="1"/>
  <c r="I14" i="7"/>
  <c r="J14" i="5" s="1"/>
  <c r="H14" i="7"/>
  <c r="I14" i="5" s="1"/>
  <c r="G14" i="7"/>
  <c r="H14" i="5" s="1"/>
  <c r="F14" i="7"/>
  <c r="G14" i="5" s="1"/>
  <c r="Q13" i="7"/>
  <c r="P13" i="7"/>
  <c r="O13" i="7"/>
  <c r="N13" i="7"/>
  <c r="M13" i="7"/>
  <c r="J13" i="7"/>
  <c r="I13" i="7"/>
  <c r="H13" i="7"/>
  <c r="G13" i="7"/>
  <c r="F13" i="7"/>
  <c r="Q12" i="7"/>
  <c r="P12" i="7"/>
  <c r="O12" i="7"/>
  <c r="N12" i="7"/>
  <c r="M12" i="7"/>
  <c r="J12" i="7"/>
  <c r="I12" i="7"/>
  <c r="H12" i="7"/>
  <c r="G12" i="7"/>
  <c r="F12" i="7"/>
  <c r="Q11" i="7"/>
  <c r="P11" i="7"/>
  <c r="O11" i="7"/>
  <c r="N11" i="7"/>
  <c r="M11" i="7"/>
  <c r="J11" i="7"/>
  <c r="I11" i="7"/>
  <c r="H11" i="7"/>
  <c r="G11" i="7"/>
  <c r="F11" i="7"/>
  <c r="Q10" i="7"/>
  <c r="P10" i="7"/>
  <c r="O10" i="7"/>
  <c r="N10" i="7"/>
  <c r="M10" i="7"/>
  <c r="J10" i="7"/>
  <c r="I10" i="7"/>
  <c r="H10" i="7"/>
  <c r="G10" i="7"/>
  <c r="F10" i="7"/>
  <c r="Q9" i="7"/>
  <c r="P9" i="7"/>
  <c r="O9" i="7"/>
  <c r="N9" i="7"/>
  <c r="M9" i="7"/>
  <c r="J9" i="7"/>
  <c r="I9" i="7"/>
  <c r="H9" i="7"/>
  <c r="G9" i="7"/>
  <c r="F9" i="7"/>
  <c r="Q8" i="7"/>
  <c r="P8" i="7"/>
  <c r="O8" i="7"/>
  <c r="N8" i="7"/>
  <c r="M8" i="7"/>
  <c r="J8" i="7"/>
  <c r="I8" i="7"/>
  <c r="H8" i="7"/>
  <c r="G8" i="7"/>
  <c r="F8" i="7"/>
  <c r="Q7" i="7"/>
  <c r="R28" i="4" s="1"/>
  <c r="R29" i="4" s="1"/>
  <c r="P7" i="7"/>
  <c r="O7" i="7"/>
  <c r="N7" i="7"/>
  <c r="M7" i="7"/>
  <c r="J7" i="7"/>
  <c r="K28" i="4" s="1"/>
  <c r="K29" i="4" s="1"/>
  <c r="I7" i="7"/>
  <c r="H7" i="7"/>
  <c r="G7" i="7"/>
  <c r="F7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" i="6"/>
  <c r="D8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Q31" i="5" l="1"/>
  <c r="Q24" i="5"/>
  <c r="R31" i="5"/>
  <c r="R24" i="5"/>
  <c r="T24" i="5" s="1"/>
  <c r="P26" i="5"/>
  <c r="P119" i="2"/>
  <c r="P11" i="5"/>
  <c r="P101" i="2"/>
  <c r="R109" i="2"/>
  <c r="P111" i="2"/>
  <c r="R43" i="2"/>
  <c r="P14" i="5"/>
  <c r="T14" i="5" s="1"/>
  <c r="P45" i="5"/>
  <c r="R26" i="5"/>
  <c r="P29" i="5"/>
  <c r="T29" i="5" s="1"/>
  <c r="R11" i="5"/>
  <c r="T11" i="5" s="1"/>
  <c r="R25" i="5"/>
  <c r="R32" i="5"/>
  <c r="R27" i="5"/>
  <c r="R28" i="5"/>
  <c r="H96" i="2"/>
  <c r="H52" i="5"/>
  <c r="H12" i="5"/>
  <c r="K53" i="5"/>
  <c r="K13" i="5"/>
  <c r="K28" i="5"/>
  <c r="K27" i="5"/>
  <c r="K25" i="5"/>
  <c r="K32" i="5"/>
  <c r="O53" i="5"/>
  <c r="O13" i="5"/>
  <c r="K96" i="2"/>
  <c r="K52" i="5"/>
  <c r="K12" i="5"/>
  <c r="N28" i="5"/>
  <c r="N27" i="5"/>
  <c r="N25" i="5"/>
  <c r="N32" i="5"/>
  <c r="P13" i="5"/>
  <c r="P53" i="5"/>
  <c r="N52" i="5"/>
  <c r="N12" i="5"/>
  <c r="I32" i="5"/>
  <c r="I25" i="5"/>
  <c r="I28" i="5"/>
  <c r="I27" i="5"/>
  <c r="J32" i="5"/>
  <c r="J28" i="5"/>
  <c r="J25" i="5"/>
  <c r="J27" i="5"/>
  <c r="J12" i="5"/>
  <c r="J52" i="5"/>
  <c r="O28" i="5"/>
  <c r="O25" i="5"/>
  <c r="O27" i="5"/>
  <c r="O32" i="5"/>
  <c r="G53" i="5"/>
  <c r="G13" i="5"/>
  <c r="Q53" i="5"/>
  <c r="Q13" i="5"/>
  <c r="O52" i="5"/>
  <c r="O12" i="5"/>
  <c r="T23" i="5"/>
  <c r="T30" i="5"/>
  <c r="T37" i="5"/>
  <c r="R144" i="2"/>
  <c r="N120" i="2"/>
  <c r="N45" i="5"/>
  <c r="N13" i="5"/>
  <c r="N15" i="5" s="1"/>
  <c r="N8" i="1" s="1"/>
  <c r="N53" i="5"/>
  <c r="P27" i="5"/>
  <c r="P32" i="5"/>
  <c r="P25" i="5"/>
  <c r="P28" i="5"/>
  <c r="H53" i="5"/>
  <c r="H13" i="5"/>
  <c r="R13" i="5"/>
  <c r="R53" i="5"/>
  <c r="P12" i="5"/>
  <c r="P52" i="5"/>
  <c r="H25" i="5"/>
  <c r="H32" i="5"/>
  <c r="H28" i="5"/>
  <c r="H27" i="5"/>
  <c r="J53" i="5"/>
  <c r="J13" i="5"/>
  <c r="R96" i="2"/>
  <c r="R12" i="5"/>
  <c r="R52" i="5"/>
  <c r="I52" i="5"/>
  <c r="I12" i="5"/>
  <c r="G25" i="5"/>
  <c r="G32" i="5"/>
  <c r="G27" i="5"/>
  <c r="G28" i="5"/>
  <c r="Q27" i="5"/>
  <c r="Q25" i="5"/>
  <c r="Q32" i="5"/>
  <c r="Q28" i="5"/>
  <c r="I53" i="5"/>
  <c r="I13" i="5"/>
  <c r="G52" i="5"/>
  <c r="G12" i="5"/>
  <c r="G15" i="5" s="1"/>
  <c r="Q52" i="5"/>
  <c r="Q12" i="5"/>
  <c r="G58" i="2"/>
  <c r="Q53" i="2"/>
  <c r="Q29" i="2"/>
  <c r="F174" i="3"/>
  <c r="F30" i="3"/>
  <c r="F36" i="3"/>
  <c r="F120" i="3"/>
  <c r="G165" i="3"/>
  <c r="F56" i="3"/>
  <c r="G141" i="3"/>
  <c r="G130" i="3"/>
  <c r="G54" i="3"/>
  <c r="G149" i="3"/>
  <c r="G166" i="3"/>
  <c r="G161" i="3"/>
  <c r="G162" i="3"/>
  <c r="G82" i="3"/>
  <c r="G181" i="3"/>
  <c r="G51" i="3"/>
  <c r="I96" i="2"/>
  <c r="O120" i="2"/>
  <c r="G57" i="2"/>
  <c r="Q119" i="2"/>
  <c r="O117" i="2"/>
  <c r="O118" i="2"/>
  <c r="K25" i="2"/>
  <c r="I28" i="2"/>
  <c r="G101" i="2"/>
  <c r="Q101" i="2"/>
  <c r="O103" i="2"/>
  <c r="K105" i="2"/>
  <c r="I109" i="2"/>
  <c r="G111" i="2"/>
  <c r="Q111" i="2"/>
  <c r="O39" i="2"/>
  <c r="K41" i="2"/>
  <c r="I43" i="2"/>
  <c r="O49" i="2"/>
  <c r="K114" i="2"/>
  <c r="G104" i="2"/>
  <c r="Q42" i="2"/>
  <c r="O45" i="2"/>
  <c r="K46" i="2"/>
  <c r="I52" i="2"/>
  <c r="G113" i="2"/>
  <c r="Q51" i="2"/>
  <c r="O53" i="2"/>
  <c r="Q26" i="2"/>
  <c r="I118" i="2"/>
  <c r="N96" i="2"/>
  <c r="H120" i="2"/>
  <c r="R120" i="2"/>
  <c r="J119" i="2"/>
  <c r="H117" i="2"/>
  <c r="R117" i="2"/>
  <c r="H118" i="2"/>
  <c r="R118" i="2"/>
  <c r="J111" i="2"/>
  <c r="H39" i="2"/>
  <c r="R39" i="2"/>
  <c r="P41" i="2"/>
  <c r="N43" i="2"/>
  <c r="H49" i="2"/>
  <c r="R49" i="2"/>
  <c r="P54" i="2"/>
  <c r="J42" i="2"/>
  <c r="I61" i="6" s="1"/>
  <c r="H44" i="2"/>
  <c r="G62" i="6" s="1"/>
  <c r="R44" i="2"/>
  <c r="P110" i="2"/>
  <c r="N52" i="2"/>
  <c r="J51" i="2"/>
  <c r="H53" i="2"/>
  <c r="R53" i="2"/>
  <c r="J26" i="2"/>
  <c r="H29" i="2"/>
  <c r="R29" i="2"/>
  <c r="O96" i="2"/>
  <c r="K119" i="2"/>
  <c r="I117" i="2"/>
  <c r="I56" i="2"/>
  <c r="K101" i="2"/>
  <c r="I103" i="2"/>
  <c r="Q105" i="2"/>
  <c r="O109" i="2"/>
  <c r="K111" i="2"/>
  <c r="I39" i="2"/>
  <c r="O43" i="2"/>
  <c r="Q114" i="2"/>
  <c r="O102" i="2"/>
  <c r="K42" i="2"/>
  <c r="I107" i="2"/>
  <c r="G46" i="2"/>
  <c r="Q110" i="2"/>
  <c r="O52" i="2"/>
  <c r="K51" i="2"/>
  <c r="I116" i="2"/>
  <c r="I20" i="2"/>
  <c r="P96" i="2"/>
  <c r="J120" i="2"/>
  <c r="N119" i="2"/>
  <c r="J55" i="2"/>
  <c r="J56" i="2"/>
  <c r="N101" i="2"/>
  <c r="J103" i="2"/>
  <c r="H105" i="2"/>
  <c r="R105" i="2"/>
  <c r="P109" i="2"/>
  <c r="N111" i="2"/>
  <c r="J39" i="2"/>
  <c r="H41" i="2"/>
  <c r="R41" i="2"/>
  <c r="P43" i="2"/>
  <c r="J49" i="2"/>
  <c r="H114" i="2"/>
  <c r="R114" i="2"/>
  <c r="P102" i="2"/>
  <c r="N42" i="2"/>
  <c r="J107" i="2"/>
  <c r="H110" i="2"/>
  <c r="R110" i="2"/>
  <c r="P52" i="2"/>
  <c r="N51" i="2"/>
  <c r="J116" i="2"/>
  <c r="K39" i="2"/>
  <c r="G96" i="2"/>
  <c r="Q96" i="2"/>
  <c r="K120" i="2"/>
  <c r="O119" i="2"/>
  <c r="K55" i="2"/>
  <c r="K118" i="2"/>
  <c r="G34" i="2"/>
  <c r="O101" i="2"/>
  <c r="K103" i="2"/>
  <c r="I105" i="2"/>
  <c r="G109" i="2"/>
  <c r="Q109" i="2"/>
  <c r="O111" i="2"/>
  <c r="I41" i="2"/>
  <c r="H61" i="6" s="1"/>
  <c r="G43" i="2"/>
  <c r="Q43" i="2"/>
  <c r="P62" i="6" s="1"/>
  <c r="K49" i="2"/>
  <c r="I114" i="2"/>
  <c r="G40" i="2"/>
  <c r="Q102" i="2"/>
  <c r="O104" i="2"/>
  <c r="K107" i="2"/>
  <c r="I108" i="2"/>
  <c r="G52" i="2"/>
  <c r="Q52" i="2"/>
  <c r="O113" i="2"/>
  <c r="K53" i="2"/>
  <c r="G41" i="2"/>
  <c r="H28" i="2"/>
  <c r="R28" i="2"/>
  <c r="R102" i="2"/>
  <c r="P104" i="2"/>
  <c r="N106" i="2"/>
  <c r="J108" i="2"/>
  <c r="H52" i="2"/>
  <c r="R52" i="2"/>
  <c r="P112" i="2"/>
  <c r="N53" i="2"/>
  <c r="Q45" i="2"/>
  <c r="H57" i="2"/>
  <c r="G67" i="6" s="1"/>
  <c r="R57" i="2"/>
  <c r="Q67" i="6" s="1"/>
  <c r="J28" i="2"/>
  <c r="H101" i="2"/>
  <c r="R101" i="2"/>
  <c r="P103" i="2"/>
  <c r="N105" i="2"/>
  <c r="J109" i="2"/>
  <c r="H111" i="2"/>
  <c r="R111" i="2"/>
  <c r="P39" i="2"/>
  <c r="N41" i="2"/>
  <c r="J43" i="2"/>
  <c r="P49" i="2"/>
  <c r="H26" i="2"/>
  <c r="G107" i="2"/>
  <c r="Q104" i="2"/>
  <c r="K48" i="2"/>
  <c r="O106" i="2"/>
  <c r="N26" i="2"/>
  <c r="O51" i="2"/>
  <c r="K108" i="2"/>
  <c r="O26" i="2"/>
  <c r="N19" i="2"/>
  <c r="G28" i="2"/>
  <c r="I53" i="2"/>
  <c r="O114" i="2"/>
  <c r="P26" i="2"/>
  <c r="F36" i="2"/>
  <c r="R34" i="2"/>
  <c r="Q54" i="2"/>
  <c r="K116" i="2"/>
  <c r="G93" i="2"/>
  <c r="P93" i="2"/>
  <c r="O94" i="2"/>
  <c r="J146" i="2"/>
  <c r="K19" i="2"/>
  <c r="I26" i="2"/>
  <c r="I44" i="2"/>
  <c r="J101" i="2"/>
  <c r="I144" i="2"/>
  <c r="N25" i="2"/>
  <c r="R26" i="2"/>
  <c r="K26" i="2"/>
  <c r="Q41" i="2"/>
  <c r="I49" i="2"/>
  <c r="O55" i="2"/>
  <c r="I102" i="2"/>
  <c r="I110" i="2"/>
  <c r="Q120" i="2"/>
  <c r="G94" i="2"/>
  <c r="Q93" i="2"/>
  <c r="P94" i="2"/>
  <c r="K146" i="2"/>
  <c r="J144" i="2"/>
  <c r="O25" i="2"/>
  <c r="I29" i="2"/>
  <c r="O42" i="2"/>
  <c r="N61" i="6" s="1"/>
  <c r="G50" i="2"/>
  <c r="K56" i="2"/>
  <c r="H103" i="2"/>
  <c r="Q112" i="2"/>
  <c r="H93" i="2"/>
  <c r="R93" i="2"/>
  <c r="Q94" i="2"/>
  <c r="N146" i="2"/>
  <c r="K144" i="2"/>
  <c r="P25" i="2"/>
  <c r="F21" i="2"/>
  <c r="F76" i="2" s="1"/>
  <c r="H34" i="2"/>
  <c r="K43" i="2"/>
  <c r="Q50" i="2"/>
  <c r="I57" i="2"/>
  <c r="H67" i="6" s="1"/>
  <c r="R103" i="2"/>
  <c r="P113" i="2"/>
  <c r="I93" i="2"/>
  <c r="H94" i="2"/>
  <c r="R94" i="2"/>
  <c r="O146" i="2"/>
  <c r="N144" i="2"/>
  <c r="Q25" i="2"/>
  <c r="J93" i="2"/>
  <c r="I94" i="2"/>
  <c r="P146" i="2"/>
  <c r="O144" i="2"/>
  <c r="H25" i="2"/>
  <c r="R25" i="2"/>
  <c r="J20" i="2"/>
  <c r="Q35" i="2"/>
  <c r="G45" i="2"/>
  <c r="K52" i="2"/>
  <c r="Q58" i="2"/>
  <c r="P105" i="2"/>
  <c r="N115" i="2"/>
  <c r="K93" i="2"/>
  <c r="J94" i="2"/>
  <c r="Q146" i="2"/>
  <c r="P144" i="2"/>
  <c r="I25" i="2"/>
  <c r="N93" i="2"/>
  <c r="K94" i="2"/>
  <c r="H146" i="2"/>
  <c r="R146" i="2"/>
  <c r="Q144" i="2"/>
  <c r="J25" i="2"/>
  <c r="K20" i="2"/>
  <c r="I40" i="2"/>
  <c r="O46" i="2"/>
  <c r="G54" i="2"/>
  <c r="G115" i="2"/>
  <c r="N107" i="2"/>
  <c r="J117" i="2"/>
  <c r="O93" i="2"/>
  <c r="N94" i="2"/>
  <c r="I146" i="2"/>
  <c r="H144" i="2"/>
  <c r="F158" i="2"/>
  <c r="F160" i="2" s="1"/>
  <c r="F98" i="2"/>
  <c r="F129" i="2" s="1"/>
  <c r="G46" i="3"/>
  <c r="G111" i="3"/>
  <c r="G83" i="3"/>
  <c r="G142" i="3"/>
  <c r="G112" i="3"/>
  <c r="G84" i="3"/>
  <c r="G143" i="3"/>
  <c r="G136" i="3"/>
  <c r="G63" i="3"/>
  <c r="G85" i="3"/>
  <c r="G144" i="3"/>
  <c r="G137" i="3"/>
  <c r="G75" i="3"/>
  <c r="G64" i="3"/>
  <c r="G145" i="3"/>
  <c r="G132" i="3"/>
  <c r="G48" i="3"/>
  <c r="G65" i="3"/>
  <c r="G133" i="3"/>
  <c r="G129" i="3"/>
  <c r="F21" i="3"/>
  <c r="G45" i="3"/>
  <c r="G49" i="3"/>
  <c r="G55" i="3"/>
  <c r="G80" i="3"/>
  <c r="G148" i="3"/>
  <c r="G134" i="3"/>
  <c r="O28" i="4"/>
  <c r="O29" i="4" s="1"/>
  <c r="P28" i="4"/>
  <c r="P29" i="4" s="1"/>
  <c r="E8" i="7"/>
  <c r="E7" i="7"/>
  <c r="G28" i="4"/>
  <c r="G76" i="3"/>
  <c r="Q28" i="4"/>
  <c r="Q29" i="4" s="1"/>
  <c r="E11" i="7"/>
  <c r="E15" i="7"/>
  <c r="G144" i="2"/>
  <c r="I120" i="2"/>
  <c r="I58" i="2"/>
  <c r="E19" i="7"/>
  <c r="O31" i="2"/>
  <c r="H28" i="4"/>
  <c r="H29" i="4" s="1"/>
  <c r="H119" i="2"/>
  <c r="R119" i="2"/>
  <c r="E9" i="7"/>
  <c r="G146" i="2"/>
  <c r="G74" i="3"/>
  <c r="N28" i="4"/>
  <c r="N29" i="4" s="1"/>
  <c r="J96" i="2"/>
  <c r="J31" i="2"/>
  <c r="P120" i="2"/>
  <c r="P58" i="2"/>
  <c r="P117" i="2"/>
  <c r="P55" i="2"/>
  <c r="P118" i="2"/>
  <c r="P56" i="2"/>
  <c r="J19" i="2"/>
  <c r="J34" i="2"/>
  <c r="N114" i="2"/>
  <c r="N54" i="2"/>
  <c r="J102" i="2"/>
  <c r="J40" i="2"/>
  <c r="H42" i="2"/>
  <c r="H104" i="2"/>
  <c r="R42" i="2"/>
  <c r="R104" i="2"/>
  <c r="P45" i="2"/>
  <c r="P44" i="2"/>
  <c r="P107" i="2"/>
  <c r="P106" i="2"/>
  <c r="N46" i="2"/>
  <c r="N110" i="2"/>
  <c r="N108" i="2"/>
  <c r="N48" i="2"/>
  <c r="J52" i="2"/>
  <c r="J115" i="2"/>
  <c r="H51" i="2"/>
  <c r="H113" i="2"/>
  <c r="H112" i="2"/>
  <c r="H50" i="2"/>
  <c r="R51" i="2"/>
  <c r="R113" i="2"/>
  <c r="R112" i="2"/>
  <c r="R50" i="2"/>
  <c r="P53" i="2"/>
  <c r="P116" i="2"/>
  <c r="P35" i="2"/>
  <c r="P29" i="2"/>
  <c r="P20" i="2"/>
  <c r="E10" i="7"/>
  <c r="E14" i="7"/>
  <c r="E18" i="7"/>
  <c r="E22" i="7"/>
  <c r="E26" i="7"/>
  <c r="E30" i="7"/>
  <c r="E38" i="7"/>
  <c r="E42" i="7"/>
  <c r="E46" i="7"/>
  <c r="E50" i="7"/>
  <c r="E54" i="7"/>
  <c r="E58" i="7"/>
  <c r="O19" i="2"/>
  <c r="N20" i="2"/>
  <c r="G29" i="2"/>
  <c r="K28" i="2"/>
  <c r="J29" i="2"/>
  <c r="I34" i="2"/>
  <c r="H35" i="2"/>
  <c r="R35" i="2"/>
  <c r="P31" i="2"/>
  <c r="P42" i="2"/>
  <c r="J44" i="2"/>
  <c r="H45" i="2"/>
  <c r="R45" i="2"/>
  <c r="P46" i="2"/>
  <c r="P51" i="2"/>
  <c r="J53" i="2"/>
  <c r="H54" i="2"/>
  <c r="R54" i="2"/>
  <c r="N56" i="2"/>
  <c r="M66" i="6" s="1"/>
  <c r="J57" i="2"/>
  <c r="I67" i="6" s="1"/>
  <c r="H58" i="2"/>
  <c r="R58" i="2"/>
  <c r="I28" i="4"/>
  <c r="I29" i="4" s="1"/>
  <c r="G108" i="2"/>
  <c r="G116" i="2"/>
  <c r="O107" i="2"/>
  <c r="J110" i="2"/>
  <c r="Q113" i="2"/>
  <c r="P114" i="2"/>
  <c r="O115" i="2"/>
  <c r="N116" i="2"/>
  <c r="K117" i="2"/>
  <c r="J118" i="2"/>
  <c r="E16" i="7"/>
  <c r="E24" i="7"/>
  <c r="E40" i="7"/>
  <c r="E48" i="7"/>
  <c r="E56" i="7"/>
  <c r="G19" i="2"/>
  <c r="P19" i="2"/>
  <c r="O20" i="2"/>
  <c r="G35" i="2"/>
  <c r="N28" i="2"/>
  <c r="K29" i="2"/>
  <c r="I35" i="2"/>
  <c r="G31" i="2"/>
  <c r="Q31" i="2"/>
  <c r="K40" i="2"/>
  <c r="G42" i="2"/>
  <c r="K44" i="2"/>
  <c r="I45" i="2"/>
  <c r="Q46" i="2"/>
  <c r="O48" i="2"/>
  <c r="I50" i="2"/>
  <c r="G51" i="2"/>
  <c r="I54" i="2"/>
  <c r="G55" i="2"/>
  <c r="Q55" i="2"/>
  <c r="O56" i="2"/>
  <c r="K57" i="2"/>
  <c r="J67" i="6" s="1"/>
  <c r="J28" i="4"/>
  <c r="J29" i="4" s="1"/>
  <c r="G117" i="2"/>
  <c r="I104" i="2"/>
  <c r="Q106" i="2"/>
  <c r="O108" i="2"/>
  <c r="N109" i="2"/>
  <c r="K110" i="2"/>
  <c r="I112" i="2"/>
  <c r="P115" i="2"/>
  <c r="O116" i="2"/>
  <c r="N117" i="2"/>
  <c r="E23" i="7"/>
  <c r="E35" i="7"/>
  <c r="E39" i="7"/>
  <c r="E43" i="7"/>
  <c r="E47" i="7"/>
  <c r="E51" i="7"/>
  <c r="E55" i="7"/>
  <c r="G20" i="2"/>
  <c r="Q19" i="2"/>
  <c r="O28" i="2"/>
  <c r="N29" i="2"/>
  <c r="K34" i="2"/>
  <c r="J35" i="2"/>
  <c r="H31" i="2"/>
  <c r="R31" i="2"/>
  <c r="N40" i="2"/>
  <c r="M60" i="6" s="1"/>
  <c r="N44" i="2"/>
  <c r="J45" i="2"/>
  <c r="H46" i="2"/>
  <c r="R46" i="2"/>
  <c r="P48" i="2"/>
  <c r="J50" i="2"/>
  <c r="J54" i="2"/>
  <c r="H55" i="2"/>
  <c r="R55" i="2"/>
  <c r="N57" i="2"/>
  <c r="M67" i="6" s="1"/>
  <c r="J58" i="2"/>
  <c r="G102" i="2"/>
  <c r="G110" i="2"/>
  <c r="G118" i="2"/>
  <c r="N102" i="2"/>
  <c r="J104" i="2"/>
  <c r="H106" i="2"/>
  <c r="R106" i="2"/>
  <c r="Q107" i="2"/>
  <c r="P108" i="2"/>
  <c r="J112" i="2"/>
  <c r="I113" i="2"/>
  <c r="Q115" i="2"/>
  <c r="H19" i="2"/>
  <c r="R19" i="2"/>
  <c r="Q20" i="2"/>
  <c r="P28" i="2"/>
  <c r="O29" i="2"/>
  <c r="N34" i="2"/>
  <c r="K35" i="2"/>
  <c r="I31" i="2"/>
  <c r="G39" i="2"/>
  <c r="O40" i="2"/>
  <c r="O44" i="2"/>
  <c r="K45" i="2"/>
  <c r="I46" i="2"/>
  <c r="G48" i="2"/>
  <c r="Q48" i="2"/>
  <c r="K50" i="2"/>
  <c r="K54" i="2"/>
  <c r="I55" i="2"/>
  <c r="G56" i="2"/>
  <c r="Q56" i="2"/>
  <c r="O57" i="2"/>
  <c r="N67" i="6" s="1"/>
  <c r="K58" i="2"/>
  <c r="G103" i="2"/>
  <c r="G119" i="2"/>
  <c r="K104" i="2"/>
  <c r="I106" i="2"/>
  <c r="H107" i="2"/>
  <c r="R107" i="2"/>
  <c r="Q108" i="2"/>
  <c r="K112" i="2"/>
  <c r="J113" i="2"/>
  <c r="H115" i="2"/>
  <c r="R115" i="2"/>
  <c r="Q116" i="2"/>
  <c r="E12" i="7"/>
  <c r="E20" i="7"/>
  <c r="E28" i="7"/>
  <c r="E36" i="7"/>
  <c r="E44" i="7"/>
  <c r="E52" i="7"/>
  <c r="I19" i="2"/>
  <c r="H20" i="2"/>
  <c r="R20" i="2"/>
  <c r="Q28" i="2"/>
  <c r="O34" i="2"/>
  <c r="N35" i="2"/>
  <c r="P40" i="2"/>
  <c r="N45" i="2"/>
  <c r="J46" i="2"/>
  <c r="H48" i="2"/>
  <c r="R48" i="2"/>
  <c r="N50" i="2"/>
  <c r="H56" i="2"/>
  <c r="R56" i="2"/>
  <c r="P57" i="2"/>
  <c r="O67" i="6" s="1"/>
  <c r="N58" i="2"/>
  <c r="G112" i="2"/>
  <c r="G120" i="2"/>
  <c r="N104" i="2"/>
  <c r="J106" i="2"/>
  <c r="H108" i="2"/>
  <c r="R108" i="2"/>
  <c r="N112" i="2"/>
  <c r="K113" i="2"/>
  <c r="I115" i="2"/>
  <c r="H116" i="2"/>
  <c r="R116" i="2"/>
  <c r="G25" i="2"/>
  <c r="P34" i="2"/>
  <c r="O35" i="2"/>
  <c r="K31" i="2"/>
  <c r="Q40" i="2"/>
  <c r="P60" i="6" s="1"/>
  <c r="G44" i="2"/>
  <c r="I48" i="2"/>
  <c r="G49" i="2"/>
  <c r="O50" i="2"/>
  <c r="G53" i="2"/>
  <c r="Q57" i="2"/>
  <c r="P67" i="6" s="1"/>
  <c r="O58" i="2"/>
  <c r="G39" i="3"/>
  <c r="G73" i="3"/>
  <c r="G105" i="2"/>
  <c r="K106" i="2"/>
  <c r="O112" i="2"/>
  <c r="N113" i="2"/>
  <c r="E13" i="7"/>
  <c r="E17" i="7"/>
  <c r="E21" i="7"/>
  <c r="E25" i="7"/>
  <c r="E29" i="7"/>
  <c r="E37" i="7"/>
  <c r="E41" i="7"/>
  <c r="E45" i="7"/>
  <c r="E49" i="7"/>
  <c r="E53" i="7"/>
  <c r="E57" i="7"/>
  <c r="G26" i="2"/>
  <c r="Q34" i="2"/>
  <c r="N31" i="2"/>
  <c r="H40" i="2"/>
  <c r="R40" i="2"/>
  <c r="Q60" i="6" s="1"/>
  <c r="J48" i="2"/>
  <c r="P50" i="2"/>
  <c r="G40" i="3"/>
  <c r="G106" i="2"/>
  <c r="G114" i="2"/>
  <c r="H60" i="6"/>
  <c r="G20" i="3"/>
  <c r="G35" i="3"/>
  <c r="G19" i="3"/>
  <c r="G34" i="3"/>
  <c r="G26" i="3"/>
  <c r="G25" i="3"/>
  <c r="G17" i="3"/>
  <c r="H1" i="3"/>
  <c r="G16" i="3"/>
  <c r="K15" i="5" l="1"/>
  <c r="K8" i="1" s="1"/>
  <c r="T31" i="5"/>
  <c r="Q62" i="6"/>
  <c r="P64" i="6"/>
  <c r="O60" i="6"/>
  <c r="T45" i="5"/>
  <c r="J15" i="5"/>
  <c r="J8" i="1" s="1"/>
  <c r="T26" i="5"/>
  <c r="Q15" i="5"/>
  <c r="Q8" i="1" s="1"/>
  <c r="P15" i="5"/>
  <c r="P8" i="1" s="1"/>
  <c r="H15" i="5"/>
  <c r="H8" i="1" s="1"/>
  <c r="R15" i="5"/>
  <c r="R8" i="1" s="1"/>
  <c r="T52" i="5"/>
  <c r="O15" i="5"/>
  <c r="O8" i="1" s="1"/>
  <c r="I15" i="5"/>
  <c r="I8" i="1" s="1"/>
  <c r="G8" i="1"/>
  <c r="T12" i="5"/>
  <c r="T28" i="5"/>
  <c r="T27" i="5"/>
  <c r="T32" i="5"/>
  <c r="T53" i="5"/>
  <c r="T13" i="5"/>
  <c r="T25" i="5"/>
  <c r="H21" i="2"/>
  <c r="G79" i="6" s="1"/>
  <c r="H66" i="6"/>
  <c r="J60" i="6"/>
  <c r="F103" i="3"/>
  <c r="F122" i="3" s="1"/>
  <c r="F189" i="3" s="1"/>
  <c r="H62" i="6"/>
  <c r="P65" i="6"/>
  <c r="J61" i="6"/>
  <c r="M64" i="6"/>
  <c r="J62" i="6"/>
  <c r="G60" i="6"/>
  <c r="N60" i="6"/>
  <c r="N21" i="2"/>
  <c r="M79" i="6" s="1"/>
  <c r="J63" i="6"/>
  <c r="P61" i="6"/>
  <c r="K21" i="2"/>
  <c r="J79" i="6" s="1"/>
  <c r="R21" i="2"/>
  <c r="Q79" i="6" s="1"/>
  <c r="O65" i="6"/>
  <c r="J66" i="6"/>
  <c r="Q36" i="2"/>
  <c r="P88" i="6" s="1"/>
  <c r="I21" i="2"/>
  <c r="H79" i="6" s="1"/>
  <c r="H64" i="6"/>
  <c r="G41" i="3"/>
  <c r="G21" i="2"/>
  <c r="F79" i="6" s="1"/>
  <c r="J77" i="6"/>
  <c r="N65" i="6"/>
  <c r="I64" i="6"/>
  <c r="N63" i="6"/>
  <c r="Q61" i="6"/>
  <c r="J21" i="2"/>
  <c r="I79" i="6" s="1"/>
  <c r="N62" i="6"/>
  <c r="O62" i="6"/>
  <c r="R36" i="2"/>
  <c r="Q88" i="6" s="1"/>
  <c r="J36" i="2"/>
  <c r="I88" i="6" s="1"/>
  <c r="T117" i="2"/>
  <c r="K36" i="2"/>
  <c r="T103" i="2"/>
  <c r="T118" i="2"/>
  <c r="T58" i="2"/>
  <c r="M61" i="6"/>
  <c r="I66" i="6"/>
  <c r="I62" i="6"/>
  <c r="Q65" i="6"/>
  <c r="G65" i="6"/>
  <c r="P36" i="2"/>
  <c r="O88" i="6" s="1"/>
  <c r="T94" i="2"/>
  <c r="T45" i="2"/>
  <c r="F65" i="6"/>
  <c r="T53" i="2"/>
  <c r="T110" i="2"/>
  <c r="T93" i="2"/>
  <c r="T28" i="2"/>
  <c r="T52" i="2"/>
  <c r="T46" i="2"/>
  <c r="T101" i="2"/>
  <c r="T31" i="2"/>
  <c r="F67" i="6"/>
  <c r="E67" i="6" s="1"/>
  <c r="T57" i="2"/>
  <c r="H77" i="6"/>
  <c r="T113" i="2"/>
  <c r="G36" i="2"/>
  <c r="F88" i="6" s="1"/>
  <c r="N64" i="6"/>
  <c r="T25" i="2"/>
  <c r="T102" i="2"/>
  <c r="T29" i="2"/>
  <c r="G29" i="4"/>
  <c r="T29" i="4" s="1"/>
  <c r="T28" i="4"/>
  <c r="T107" i="2"/>
  <c r="T43" i="2"/>
  <c r="T34" i="2"/>
  <c r="T96" i="2"/>
  <c r="T49" i="2"/>
  <c r="T56" i="2"/>
  <c r="T35" i="2"/>
  <c r="O61" i="6"/>
  <c r="G61" i="6"/>
  <c r="T55" i="2"/>
  <c r="I60" i="6"/>
  <c r="T146" i="2"/>
  <c r="T115" i="2"/>
  <c r="T111" i="2"/>
  <c r="T114" i="2"/>
  <c r="T120" i="2"/>
  <c r="F61" i="6"/>
  <c r="T42" i="2"/>
  <c r="T116" i="2"/>
  <c r="T106" i="2"/>
  <c r="T26" i="2"/>
  <c r="F62" i="6"/>
  <c r="T44" i="2"/>
  <c r="T112" i="2"/>
  <c r="J65" i="6"/>
  <c r="F60" i="6"/>
  <c r="T39" i="2"/>
  <c r="M62" i="6"/>
  <c r="H65" i="6"/>
  <c r="T108" i="2"/>
  <c r="T144" i="2"/>
  <c r="T54" i="2"/>
  <c r="T41" i="2"/>
  <c r="T104" i="2"/>
  <c r="T50" i="2"/>
  <c r="F63" i="6"/>
  <c r="T48" i="2"/>
  <c r="T105" i="2"/>
  <c r="T119" i="2"/>
  <c r="J64" i="6"/>
  <c r="T20" i="2"/>
  <c r="T51" i="2"/>
  <c r="T19" i="2"/>
  <c r="M65" i="6"/>
  <c r="T40" i="2"/>
  <c r="T109" i="2"/>
  <c r="H144" i="3"/>
  <c r="H143" i="3"/>
  <c r="H181" i="3"/>
  <c r="H142" i="3"/>
  <c r="H162" i="3"/>
  <c r="H141" i="3"/>
  <c r="H161" i="3"/>
  <c r="H166" i="3"/>
  <c r="H149" i="3"/>
  <c r="H165" i="3"/>
  <c r="H148" i="3"/>
  <c r="H145" i="3"/>
  <c r="N66" i="6"/>
  <c r="I77" i="6"/>
  <c r="O36" i="2"/>
  <c r="N88" i="6" s="1"/>
  <c r="N36" i="2"/>
  <c r="M88" i="6" s="1"/>
  <c r="H36" i="2"/>
  <c r="G88" i="6" s="1"/>
  <c r="I36" i="2"/>
  <c r="H88" i="6" s="1"/>
  <c r="M77" i="6"/>
  <c r="N77" i="6"/>
  <c r="G56" i="3"/>
  <c r="Q77" i="6"/>
  <c r="P21" i="2"/>
  <c r="O79" i="6" s="1"/>
  <c r="F64" i="6"/>
  <c r="H133" i="3"/>
  <c r="H83" i="3"/>
  <c r="H64" i="3"/>
  <c r="H39" i="3"/>
  <c r="H132" i="3"/>
  <c r="H82" i="3"/>
  <c r="H63" i="3"/>
  <c r="H48" i="3"/>
  <c r="H137" i="3"/>
  <c r="H80" i="3"/>
  <c r="H136" i="3"/>
  <c r="H112" i="3"/>
  <c r="H111" i="3"/>
  <c r="H51" i="3"/>
  <c r="H46" i="3"/>
  <c r="H130" i="3"/>
  <c r="H85" i="3"/>
  <c r="H55" i="3"/>
  <c r="H129" i="3"/>
  <c r="H84" i="3"/>
  <c r="H65" i="3"/>
  <c r="H54" i="3"/>
  <c r="H49" i="3"/>
  <c r="H45" i="3"/>
  <c r="H40" i="3"/>
  <c r="H73" i="3"/>
  <c r="H74" i="3"/>
  <c r="H75" i="3"/>
  <c r="H134" i="3"/>
  <c r="H76" i="3"/>
  <c r="P77" i="6"/>
  <c r="F77" i="6"/>
  <c r="G77" i="6"/>
  <c r="F70" i="6"/>
  <c r="H63" i="6"/>
  <c r="G63" i="6"/>
  <c r="O77" i="6"/>
  <c r="Q21" i="2"/>
  <c r="P79" i="6" s="1"/>
  <c r="O21" i="2"/>
  <c r="N79" i="6" s="1"/>
  <c r="M63" i="6"/>
  <c r="Q64" i="6"/>
  <c r="O64" i="6"/>
  <c r="P63" i="6"/>
  <c r="Q63" i="6"/>
  <c r="I65" i="6"/>
  <c r="G64" i="6"/>
  <c r="G66" i="6"/>
  <c r="O66" i="6"/>
  <c r="I63" i="6"/>
  <c r="O63" i="6"/>
  <c r="F66" i="6"/>
  <c r="P66" i="6"/>
  <c r="Q66" i="6"/>
  <c r="J88" i="6"/>
  <c r="G21" i="3"/>
  <c r="G30" i="3"/>
  <c r="G36" i="3"/>
  <c r="I1" i="3"/>
  <c r="H35" i="3"/>
  <c r="H34" i="3"/>
  <c r="H26" i="3"/>
  <c r="H19" i="3"/>
  <c r="H25" i="3"/>
  <c r="H17" i="3"/>
  <c r="H16" i="3"/>
  <c r="H20" i="3"/>
  <c r="F162" i="2"/>
  <c r="L67" i="7" l="1"/>
  <c r="K67" i="7"/>
  <c r="T15" i="5"/>
  <c r="F8" i="1"/>
  <c r="T8" i="1" s="1"/>
  <c r="E65" i="6"/>
  <c r="E60" i="6"/>
  <c r="E62" i="6"/>
  <c r="Y67" i="6"/>
  <c r="Q67" i="7"/>
  <c r="H67" i="7"/>
  <c r="P67" i="7"/>
  <c r="E88" i="6"/>
  <c r="T36" i="2"/>
  <c r="E61" i="6"/>
  <c r="F78" i="6"/>
  <c r="T21" i="2"/>
  <c r="E79" i="6"/>
  <c r="E63" i="6"/>
  <c r="E64" i="6"/>
  <c r="E77" i="6"/>
  <c r="E66" i="6"/>
  <c r="G67" i="7"/>
  <c r="I67" i="7"/>
  <c r="O67" i="7"/>
  <c r="F67" i="7"/>
  <c r="J67" i="7"/>
  <c r="M67" i="7"/>
  <c r="N67" i="7"/>
  <c r="I143" i="3"/>
  <c r="I181" i="3"/>
  <c r="I142" i="3"/>
  <c r="I162" i="3"/>
  <c r="I141" i="3"/>
  <c r="I161" i="3"/>
  <c r="I166" i="3"/>
  <c r="I149" i="3"/>
  <c r="I165" i="3"/>
  <c r="I148" i="3"/>
  <c r="I145" i="3"/>
  <c r="I144" i="3"/>
  <c r="H56" i="3"/>
  <c r="G70" i="6"/>
  <c r="H41" i="3"/>
  <c r="I132" i="3"/>
  <c r="I82" i="3"/>
  <c r="I63" i="3"/>
  <c r="I48" i="3"/>
  <c r="I137" i="3"/>
  <c r="I80" i="3"/>
  <c r="I136" i="3"/>
  <c r="I112" i="3"/>
  <c r="I111" i="3"/>
  <c r="I51" i="3"/>
  <c r="I46" i="3"/>
  <c r="I130" i="3"/>
  <c r="I85" i="3"/>
  <c r="I55" i="3"/>
  <c r="I129" i="3"/>
  <c r="I84" i="3"/>
  <c r="I65" i="3"/>
  <c r="I54" i="3"/>
  <c r="I49" i="3"/>
  <c r="I45" i="3"/>
  <c r="I133" i="3"/>
  <c r="I83" i="3"/>
  <c r="I64" i="3"/>
  <c r="I134" i="3"/>
  <c r="I73" i="3"/>
  <c r="I75" i="3"/>
  <c r="I39" i="3"/>
  <c r="I74" i="3"/>
  <c r="I40" i="3"/>
  <c r="I76" i="3"/>
  <c r="H36" i="3"/>
  <c r="H30" i="3"/>
  <c r="H21" i="3"/>
  <c r="J1" i="3"/>
  <c r="I34" i="3"/>
  <c r="I26" i="3"/>
  <c r="I19" i="3"/>
  <c r="I25" i="3"/>
  <c r="I17" i="3"/>
  <c r="I16" i="3"/>
  <c r="I20" i="3"/>
  <c r="I35" i="3"/>
  <c r="Y62" i="6" l="1"/>
  <c r="L62" i="7"/>
  <c r="K62" i="7"/>
  <c r="F61" i="7"/>
  <c r="G106" i="3" s="1"/>
  <c r="L61" i="7"/>
  <c r="K61" i="7"/>
  <c r="P60" i="7"/>
  <c r="L60" i="7"/>
  <c r="M138" i="3" s="1"/>
  <c r="K60" i="7"/>
  <c r="L138" i="3" s="1"/>
  <c r="I77" i="7"/>
  <c r="J39" i="5" s="1"/>
  <c r="L77" i="7"/>
  <c r="M39" i="5" s="1"/>
  <c r="K77" i="7"/>
  <c r="L39" i="5" s="1"/>
  <c r="Y88" i="6"/>
  <c r="L88" i="7"/>
  <c r="K88" i="7"/>
  <c r="Y79" i="6"/>
  <c r="K79" i="7"/>
  <c r="L79" i="7"/>
  <c r="Y66" i="6"/>
  <c r="L66" i="7"/>
  <c r="M147" i="3" s="1"/>
  <c r="K66" i="7"/>
  <c r="L147" i="3" s="1"/>
  <c r="Y65" i="6"/>
  <c r="L65" i="7"/>
  <c r="K65" i="7"/>
  <c r="Y64" i="6"/>
  <c r="L64" i="7"/>
  <c r="K64" i="7"/>
  <c r="Y63" i="6"/>
  <c r="L63" i="7"/>
  <c r="K63" i="7"/>
  <c r="J62" i="7"/>
  <c r="Y60" i="6"/>
  <c r="M60" i="7"/>
  <c r="F88" i="7"/>
  <c r="G16" i="4" s="1"/>
  <c r="G17" i="4" s="1"/>
  <c r="O88" i="7"/>
  <c r="G62" i="7"/>
  <c r="H140" i="3" s="1"/>
  <c r="H62" i="7"/>
  <c r="I107" i="3" s="1"/>
  <c r="Q60" i="7"/>
  <c r="F60" i="7"/>
  <c r="G138" i="3" s="1"/>
  <c r="H60" i="7"/>
  <c r="I138" i="3" s="1"/>
  <c r="N60" i="7"/>
  <c r="I60" i="7"/>
  <c r="J138" i="3" s="1"/>
  <c r="G60" i="7"/>
  <c r="H138" i="3" s="1"/>
  <c r="O60" i="7"/>
  <c r="J60" i="7"/>
  <c r="I65" i="7"/>
  <c r="J146" i="3" s="1"/>
  <c r="P62" i="7"/>
  <c r="M62" i="7"/>
  <c r="F62" i="7"/>
  <c r="G60" i="3" s="1"/>
  <c r="G61" i="7"/>
  <c r="H106" i="3" s="1"/>
  <c r="N61" i="7"/>
  <c r="P61" i="7"/>
  <c r="J61" i="7"/>
  <c r="Y61" i="6"/>
  <c r="Q62" i="7"/>
  <c r="I61" i="7"/>
  <c r="J139" i="3" s="1"/>
  <c r="G78" i="6"/>
  <c r="I62" i="7"/>
  <c r="J140" i="3" s="1"/>
  <c r="N62" i="7"/>
  <c r="O62" i="7"/>
  <c r="M79" i="7"/>
  <c r="F79" i="7"/>
  <c r="G126" i="3" s="1"/>
  <c r="O66" i="7"/>
  <c r="M61" i="7"/>
  <c r="O61" i="7"/>
  <c r="Q61" i="7"/>
  <c r="H61" i="7"/>
  <c r="M63" i="7"/>
  <c r="H63" i="7"/>
  <c r="I35" i="5" s="1"/>
  <c r="P63" i="7"/>
  <c r="F64" i="7"/>
  <c r="G62" i="3" s="1"/>
  <c r="P77" i="7"/>
  <c r="F77" i="7"/>
  <c r="G121" i="2" s="1"/>
  <c r="F66" i="7"/>
  <c r="G147" i="3" s="1"/>
  <c r="N77" i="7"/>
  <c r="O63" i="7"/>
  <c r="Q63" i="7"/>
  <c r="I63" i="7"/>
  <c r="J108" i="3" s="1"/>
  <c r="G63" i="7"/>
  <c r="O64" i="7"/>
  <c r="M77" i="7"/>
  <c r="Y77" i="6"/>
  <c r="O77" i="7"/>
  <c r="P64" i="7"/>
  <c r="N64" i="7"/>
  <c r="I64" i="7"/>
  <c r="J62" i="3" s="1"/>
  <c r="M64" i="7"/>
  <c r="H64" i="7"/>
  <c r="J64" i="7"/>
  <c r="H88" i="7"/>
  <c r="J79" i="7"/>
  <c r="I88" i="7"/>
  <c r="J16" i="4" s="1"/>
  <c r="J17" i="4" s="1"/>
  <c r="J66" i="7"/>
  <c r="H66" i="7"/>
  <c r="I147" i="3" s="1"/>
  <c r="I66" i="7"/>
  <c r="J147" i="3" s="1"/>
  <c r="M66" i="7"/>
  <c r="Q88" i="7"/>
  <c r="O79" i="7"/>
  <c r="P79" i="7"/>
  <c r="J88" i="7"/>
  <c r="K16" i="4" s="1"/>
  <c r="K17" i="4" s="1"/>
  <c r="P66" i="7"/>
  <c r="I79" i="7"/>
  <c r="J167" i="3" s="1"/>
  <c r="N79" i="7"/>
  <c r="M65" i="7"/>
  <c r="N65" i="7"/>
  <c r="J65" i="7"/>
  <c r="P65" i="7"/>
  <c r="F65" i="7"/>
  <c r="H65" i="7"/>
  <c r="Q65" i="7"/>
  <c r="O65" i="7"/>
  <c r="G65" i="7"/>
  <c r="H79" i="7"/>
  <c r="P88" i="7"/>
  <c r="G66" i="7"/>
  <c r="N66" i="7"/>
  <c r="N63" i="7"/>
  <c r="F63" i="7"/>
  <c r="J63" i="7"/>
  <c r="Q79" i="7"/>
  <c r="G64" i="7"/>
  <c r="N88" i="7"/>
  <c r="J77" i="7"/>
  <c r="H77" i="7"/>
  <c r="G77" i="7"/>
  <c r="Q77" i="7"/>
  <c r="G79" i="7"/>
  <c r="Q66" i="7"/>
  <c r="Q64" i="7"/>
  <c r="E67" i="7"/>
  <c r="M88" i="7"/>
  <c r="N16" i="4" s="1"/>
  <c r="N17" i="4" s="1"/>
  <c r="G88" i="7"/>
  <c r="J181" i="3"/>
  <c r="J142" i="3"/>
  <c r="J162" i="3"/>
  <c r="J141" i="3"/>
  <c r="J161" i="3"/>
  <c r="J166" i="3"/>
  <c r="J149" i="3"/>
  <c r="J165" i="3"/>
  <c r="J148" i="3"/>
  <c r="J145" i="3"/>
  <c r="J144" i="3"/>
  <c r="J143" i="3"/>
  <c r="I56" i="3"/>
  <c r="I41" i="3"/>
  <c r="J137" i="3"/>
  <c r="J80" i="3"/>
  <c r="J136" i="3"/>
  <c r="J112" i="3"/>
  <c r="J111" i="3"/>
  <c r="J51" i="3"/>
  <c r="J46" i="3"/>
  <c r="J130" i="3"/>
  <c r="J85" i="3"/>
  <c r="J55" i="3"/>
  <c r="J129" i="3"/>
  <c r="J84" i="3"/>
  <c r="J65" i="3"/>
  <c r="J54" i="3"/>
  <c r="J49" i="3"/>
  <c r="J45" i="3"/>
  <c r="J133" i="3"/>
  <c r="J83" i="3"/>
  <c r="J64" i="3"/>
  <c r="J132" i="3"/>
  <c r="J82" i="3"/>
  <c r="J63" i="3"/>
  <c r="J48" i="3"/>
  <c r="J39" i="3"/>
  <c r="J134" i="3"/>
  <c r="J73" i="3"/>
  <c r="J74" i="3"/>
  <c r="J75" i="3"/>
  <c r="J40" i="3"/>
  <c r="J76" i="3"/>
  <c r="H70" i="6"/>
  <c r="I30" i="3"/>
  <c r="I36" i="3"/>
  <c r="I21" i="3"/>
  <c r="K1" i="3"/>
  <c r="J25" i="3"/>
  <c r="J17" i="3"/>
  <c r="J16" i="3"/>
  <c r="J20" i="3"/>
  <c r="J35" i="3"/>
  <c r="J34" i="3"/>
  <c r="J26" i="3"/>
  <c r="J19" i="3"/>
  <c r="L152" i="3" l="1"/>
  <c r="L16" i="4"/>
  <c r="L17" i="4" s="1"/>
  <c r="L41" i="5"/>
  <c r="L35" i="5"/>
  <c r="M152" i="3"/>
  <c r="M16" i="4"/>
  <c r="M17" i="4" s="1"/>
  <c r="M41" i="5"/>
  <c r="M35" i="5"/>
  <c r="M49" i="5"/>
  <c r="M33" i="5"/>
  <c r="M48" i="5"/>
  <c r="M44" i="5"/>
  <c r="M12" i="4"/>
  <c r="M13" i="4" s="1"/>
  <c r="M47" i="5"/>
  <c r="M43" i="5"/>
  <c r="M46" i="5"/>
  <c r="M42" i="5"/>
  <c r="M38" i="5"/>
  <c r="M34" i="5"/>
  <c r="M18" i="5"/>
  <c r="M20" i="5" s="1"/>
  <c r="L46" i="5"/>
  <c r="L49" i="5"/>
  <c r="L33" i="5"/>
  <c r="L34" i="5"/>
  <c r="L48" i="5"/>
  <c r="L44" i="5"/>
  <c r="L12" i="4"/>
  <c r="L13" i="4" s="1"/>
  <c r="L42" i="5"/>
  <c r="L38" i="5"/>
  <c r="L47" i="5"/>
  <c r="L43" i="5"/>
  <c r="L18" i="5"/>
  <c r="L20" i="5" s="1"/>
  <c r="L146" i="3"/>
  <c r="L110" i="3"/>
  <c r="L61" i="3"/>
  <c r="L108" i="3"/>
  <c r="L139" i="3"/>
  <c r="L106" i="3"/>
  <c r="M110" i="3"/>
  <c r="M146" i="3"/>
  <c r="H107" i="3"/>
  <c r="G139" i="3"/>
  <c r="M108" i="3"/>
  <c r="M61" i="3"/>
  <c r="M139" i="3"/>
  <c r="M106" i="3"/>
  <c r="L109" i="3"/>
  <c r="L62" i="3"/>
  <c r="L60" i="3"/>
  <c r="L140" i="3"/>
  <c r="L107" i="3"/>
  <c r="M109" i="3"/>
  <c r="M62" i="3"/>
  <c r="M126" i="3"/>
  <c r="M168" i="3"/>
  <c r="M81" i="3"/>
  <c r="M156" i="3"/>
  <c r="M125" i="3"/>
  <c r="M170" i="3"/>
  <c r="M171" i="3"/>
  <c r="M167" i="3"/>
  <c r="M151" i="3"/>
  <c r="M127" i="3"/>
  <c r="M60" i="3"/>
  <c r="L73" i="6" s="1"/>
  <c r="M140" i="3"/>
  <c r="M107" i="3"/>
  <c r="L170" i="3"/>
  <c r="L127" i="3"/>
  <c r="L151" i="3"/>
  <c r="L126" i="3"/>
  <c r="L167" i="3"/>
  <c r="L168" i="3"/>
  <c r="L156" i="3"/>
  <c r="L125" i="3"/>
  <c r="L81" i="3"/>
  <c r="L171" i="3"/>
  <c r="O39" i="5"/>
  <c r="J121" i="2"/>
  <c r="J122" i="2" s="1"/>
  <c r="N41" i="5"/>
  <c r="H60" i="3"/>
  <c r="N44" i="5"/>
  <c r="M154" i="2"/>
  <c r="M138" i="2"/>
  <c r="M87" i="2"/>
  <c r="M13" i="2"/>
  <c r="M155" i="2"/>
  <c r="M149" i="2"/>
  <c r="M151" i="2"/>
  <c r="M95" i="2"/>
  <c r="M88" i="2"/>
  <c r="M86" i="2"/>
  <c r="M145" i="2"/>
  <c r="M152" i="2"/>
  <c r="M97" i="2"/>
  <c r="M80" i="2"/>
  <c r="M137" i="2"/>
  <c r="M148" i="2"/>
  <c r="M142" i="2"/>
  <c r="M141" i="2"/>
  <c r="J59" i="2"/>
  <c r="J60" i="2" s="1"/>
  <c r="I81" i="6" s="1"/>
  <c r="N39" i="5"/>
  <c r="L121" i="2"/>
  <c r="L122" i="2" s="1"/>
  <c r="L59" i="2"/>
  <c r="L60" i="2" s="1"/>
  <c r="M59" i="2"/>
  <c r="M60" i="2" s="1"/>
  <c r="M121" i="2"/>
  <c r="M122" i="2" s="1"/>
  <c r="L149" i="2"/>
  <c r="L145" i="2"/>
  <c r="L141" i="2"/>
  <c r="L137" i="2"/>
  <c r="L86" i="2"/>
  <c r="L152" i="2"/>
  <c r="L148" i="2"/>
  <c r="L97" i="2"/>
  <c r="L13" i="2"/>
  <c r="L151" i="2"/>
  <c r="L87" i="2"/>
  <c r="L154" i="2"/>
  <c r="L142" i="2"/>
  <c r="L138" i="2"/>
  <c r="L95" i="2"/>
  <c r="L88" i="2"/>
  <c r="L80" i="2"/>
  <c r="L155" i="2"/>
  <c r="G49" i="5"/>
  <c r="O16" i="4"/>
  <c r="O17" i="4" s="1"/>
  <c r="P16" i="4"/>
  <c r="P17" i="4" s="1"/>
  <c r="Q16" i="4"/>
  <c r="Q17" i="4" s="1"/>
  <c r="R16" i="4"/>
  <c r="R17" i="4" s="1"/>
  <c r="N34" i="5"/>
  <c r="N141" i="2"/>
  <c r="N18" i="5"/>
  <c r="N20" i="5" s="1"/>
  <c r="N9" i="1" s="1"/>
  <c r="N88" i="2"/>
  <c r="N97" i="2"/>
  <c r="N43" i="5"/>
  <c r="N13" i="2"/>
  <c r="G152" i="3"/>
  <c r="I140" i="3"/>
  <c r="N137" i="2"/>
  <c r="N86" i="2"/>
  <c r="N38" i="5"/>
  <c r="N138" i="2"/>
  <c r="N48" i="5"/>
  <c r="N42" i="5"/>
  <c r="N145" i="2"/>
  <c r="N87" i="2"/>
  <c r="N49" i="5"/>
  <c r="N149" i="2"/>
  <c r="N152" i="2"/>
  <c r="G39" i="5"/>
  <c r="J110" i="3"/>
  <c r="G33" i="5"/>
  <c r="J106" i="3"/>
  <c r="G138" i="2"/>
  <c r="G151" i="3"/>
  <c r="G80" i="2"/>
  <c r="J107" i="3"/>
  <c r="G34" i="5"/>
  <c r="G167" i="3"/>
  <c r="G137" i="2"/>
  <c r="G38" i="5"/>
  <c r="G154" i="2"/>
  <c r="G151" i="2"/>
  <c r="J60" i="3"/>
  <c r="G42" i="5"/>
  <c r="G152" i="2"/>
  <c r="G88" i="2"/>
  <c r="G13" i="2"/>
  <c r="G44" i="5"/>
  <c r="G46" i="5"/>
  <c r="G145" i="2"/>
  <c r="G171" i="3"/>
  <c r="G107" i="3"/>
  <c r="G149" i="2"/>
  <c r="G48" i="5"/>
  <c r="G43" i="5"/>
  <c r="G140" i="3"/>
  <c r="G18" i="5"/>
  <c r="G20" i="5" s="1"/>
  <c r="G9" i="1" s="1"/>
  <c r="G47" i="5"/>
  <c r="G142" i="2"/>
  <c r="H139" i="3"/>
  <c r="G87" i="2"/>
  <c r="N151" i="2"/>
  <c r="N80" i="2"/>
  <c r="N95" i="2"/>
  <c r="N47" i="5"/>
  <c r="G59" i="2"/>
  <c r="G60" i="2" s="1"/>
  <c r="F81" i="6" s="1"/>
  <c r="N12" i="4"/>
  <c r="N13" i="4" s="1"/>
  <c r="N142" i="2"/>
  <c r="N46" i="5"/>
  <c r="N148" i="2"/>
  <c r="I60" i="3"/>
  <c r="J126" i="3"/>
  <c r="N154" i="2"/>
  <c r="N33" i="5"/>
  <c r="N155" i="2"/>
  <c r="O121" i="2"/>
  <c r="O122" i="2" s="1"/>
  <c r="O59" i="2"/>
  <c r="O60" i="2" s="1"/>
  <c r="N81" i="6" s="1"/>
  <c r="E60" i="7"/>
  <c r="G97" i="2"/>
  <c r="G141" i="2"/>
  <c r="G86" i="2"/>
  <c r="G125" i="3"/>
  <c r="G148" i="2"/>
  <c r="J61" i="3"/>
  <c r="G12" i="4"/>
  <c r="G13" i="4" s="1"/>
  <c r="G127" i="3"/>
  <c r="G156" i="3"/>
  <c r="E62" i="7"/>
  <c r="N121" i="2"/>
  <c r="N122" i="2" s="1"/>
  <c r="N59" i="2"/>
  <c r="N60" i="2" s="1"/>
  <c r="M86" i="6" s="1"/>
  <c r="J152" i="3"/>
  <c r="J151" i="3"/>
  <c r="J109" i="3"/>
  <c r="H78" i="6"/>
  <c r="J125" i="3"/>
  <c r="G155" i="2"/>
  <c r="G168" i="3"/>
  <c r="G95" i="2"/>
  <c r="G81" i="3"/>
  <c r="E61" i="7"/>
  <c r="J171" i="3"/>
  <c r="J127" i="3"/>
  <c r="G170" i="3"/>
  <c r="G122" i="2"/>
  <c r="J156" i="3"/>
  <c r="N35" i="5"/>
  <c r="I139" i="3"/>
  <c r="I106" i="3"/>
  <c r="J81" i="3"/>
  <c r="J170" i="3"/>
  <c r="J168" i="3"/>
  <c r="G109" i="3"/>
  <c r="Q59" i="2"/>
  <c r="Q60" i="2" s="1"/>
  <c r="Q121" i="2"/>
  <c r="Q122" i="2" s="1"/>
  <c r="Q39" i="5"/>
  <c r="Q35" i="5"/>
  <c r="Q41" i="5"/>
  <c r="I41" i="5"/>
  <c r="I108" i="3"/>
  <c r="I61" i="3"/>
  <c r="R35" i="5"/>
  <c r="R41" i="5"/>
  <c r="P35" i="5"/>
  <c r="P41" i="5"/>
  <c r="H61" i="3"/>
  <c r="H108" i="3"/>
  <c r="H35" i="5"/>
  <c r="H41" i="5"/>
  <c r="J41" i="5"/>
  <c r="J35" i="5"/>
  <c r="P39" i="5"/>
  <c r="P121" i="2"/>
  <c r="P122" i="2" s="1"/>
  <c r="P59" i="2"/>
  <c r="P60" i="2" s="1"/>
  <c r="H121" i="2"/>
  <c r="H122" i="2" s="1"/>
  <c r="H59" i="2"/>
  <c r="H60" i="2" s="1"/>
  <c r="E77" i="7"/>
  <c r="H39" i="5"/>
  <c r="I33" i="5"/>
  <c r="I155" i="2"/>
  <c r="I171" i="3"/>
  <c r="I148" i="2"/>
  <c r="I80" i="2"/>
  <c r="I18" i="5"/>
  <c r="I20" i="5" s="1"/>
  <c r="I9" i="1" s="1"/>
  <c r="I152" i="2"/>
  <c r="I170" i="3"/>
  <c r="I138" i="2"/>
  <c r="I87" i="2"/>
  <c r="I12" i="4"/>
  <c r="I13" i="4" s="1"/>
  <c r="I48" i="5"/>
  <c r="I137" i="2"/>
  <c r="I86" i="2"/>
  <c r="I46" i="5"/>
  <c r="I44" i="5"/>
  <c r="I142" i="2"/>
  <c r="I81" i="3"/>
  <c r="I154" i="2"/>
  <c r="I97" i="2"/>
  <c r="I13" i="2"/>
  <c r="I42" i="5"/>
  <c r="I47" i="5"/>
  <c r="I149" i="2"/>
  <c r="I168" i="3"/>
  <c r="I125" i="3"/>
  <c r="I141" i="2"/>
  <c r="I95" i="2"/>
  <c r="I98" i="2" s="1"/>
  <c r="I38" i="5"/>
  <c r="I43" i="5"/>
  <c r="I151" i="2"/>
  <c r="I167" i="3"/>
  <c r="I126" i="3"/>
  <c r="I34" i="5"/>
  <c r="I145" i="2"/>
  <c r="I151" i="3"/>
  <c r="I127" i="3"/>
  <c r="I49" i="5"/>
  <c r="I156" i="3"/>
  <c r="I88" i="2"/>
  <c r="I39" i="5"/>
  <c r="I121" i="2"/>
  <c r="I122" i="2" s="1"/>
  <c r="I59" i="2"/>
  <c r="I60" i="2" s="1"/>
  <c r="H146" i="3"/>
  <c r="H110" i="3"/>
  <c r="I109" i="3"/>
  <c r="I62" i="3"/>
  <c r="K39" i="5"/>
  <c r="K59" i="2"/>
  <c r="K60" i="2" s="1"/>
  <c r="K121" i="2"/>
  <c r="K122" i="2" s="1"/>
  <c r="O47" i="5"/>
  <c r="O155" i="2"/>
  <c r="O142" i="2"/>
  <c r="O95" i="2"/>
  <c r="O43" i="5"/>
  <c r="O152" i="2"/>
  <c r="O149" i="2"/>
  <c r="O88" i="2"/>
  <c r="O46" i="5"/>
  <c r="O154" i="2"/>
  <c r="O80" i="2"/>
  <c r="O42" i="5"/>
  <c r="O151" i="2"/>
  <c r="O141" i="2"/>
  <c r="O87" i="2"/>
  <c r="O38" i="5"/>
  <c r="O145" i="2"/>
  <c r="O148" i="2"/>
  <c r="O86" i="2"/>
  <c r="O12" i="4"/>
  <c r="O13" i="4" s="1"/>
  <c r="O18" i="5"/>
  <c r="O20" i="5" s="1"/>
  <c r="O9" i="1" s="1"/>
  <c r="O34" i="5"/>
  <c r="O138" i="2"/>
  <c r="O48" i="5"/>
  <c r="O49" i="5"/>
  <c r="O137" i="2"/>
  <c r="O13" i="2"/>
  <c r="O44" i="5"/>
  <c r="O33" i="5"/>
  <c r="O97" i="2"/>
  <c r="K48" i="5"/>
  <c r="K141" i="2"/>
  <c r="K80" i="2"/>
  <c r="K44" i="5"/>
  <c r="K148" i="2"/>
  <c r="K47" i="5"/>
  <c r="K142" i="2"/>
  <c r="K12" i="4"/>
  <c r="K13" i="4" s="1"/>
  <c r="K43" i="5"/>
  <c r="K149" i="2"/>
  <c r="K87" i="2"/>
  <c r="K13" i="2"/>
  <c r="K46" i="5"/>
  <c r="K86" i="2"/>
  <c r="K49" i="5"/>
  <c r="K42" i="5"/>
  <c r="K151" i="2"/>
  <c r="K138" i="2"/>
  <c r="K97" i="2"/>
  <c r="K33" i="5"/>
  <c r="K38" i="5"/>
  <c r="K155" i="2"/>
  <c r="K145" i="2"/>
  <c r="K137" i="2"/>
  <c r="K95" i="2"/>
  <c r="K18" i="5"/>
  <c r="K20" i="5" s="1"/>
  <c r="K9" i="1" s="1"/>
  <c r="K34" i="5"/>
  <c r="K152" i="2"/>
  <c r="K154" i="2"/>
  <c r="K88" i="2"/>
  <c r="J18" i="5"/>
  <c r="J20" i="5" s="1"/>
  <c r="J9" i="1" s="1"/>
  <c r="J154" i="2"/>
  <c r="J48" i="5"/>
  <c r="J151" i="2"/>
  <c r="J141" i="2"/>
  <c r="J88" i="2"/>
  <c r="J46" i="5"/>
  <c r="J44" i="5"/>
  <c r="J145" i="2"/>
  <c r="J80" i="2"/>
  <c r="J42" i="5"/>
  <c r="J47" i="5"/>
  <c r="J87" i="2"/>
  <c r="J38" i="5"/>
  <c r="J43" i="5"/>
  <c r="J155" i="2"/>
  <c r="J86" i="2"/>
  <c r="J13" i="2"/>
  <c r="J34" i="5"/>
  <c r="J152" i="2"/>
  <c r="J148" i="2"/>
  <c r="J97" i="2"/>
  <c r="J49" i="5"/>
  <c r="J142" i="2"/>
  <c r="J138" i="2"/>
  <c r="J95" i="2"/>
  <c r="J33" i="5"/>
  <c r="J149" i="2"/>
  <c r="J137" i="2"/>
  <c r="J12" i="4"/>
  <c r="J13" i="4" s="1"/>
  <c r="H62" i="3"/>
  <c r="H109" i="3"/>
  <c r="E64" i="7"/>
  <c r="I146" i="3"/>
  <c r="I110" i="3"/>
  <c r="O35" i="5"/>
  <c r="O41" i="5"/>
  <c r="R43" i="5"/>
  <c r="R48" i="5"/>
  <c r="R46" i="5"/>
  <c r="R44" i="5"/>
  <c r="R142" i="2"/>
  <c r="R95" i="2"/>
  <c r="R42" i="5"/>
  <c r="R149" i="2"/>
  <c r="R88" i="2"/>
  <c r="R38" i="5"/>
  <c r="R151" i="2"/>
  <c r="R141" i="2"/>
  <c r="R80" i="2"/>
  <c r="R34" i="5"/>
  <c r="R145" i="2"/>
  <c r="R148" i="2"/>
  <c r="R87" i="2"/>
  <c r="R49" i="5"/>
  <c r="R138" i="2"/>
  <c r="R86" i="2"/>
  <c r="R13" i="2"/>
  <c r="R33" i="5"/>
  <c r="R155" i="2"/>
  <c r="R137" i="2"/>
  <c r="R97" i="2"/>
  <c r="R47" i="5"/>
  <c r="R18" i="5"/>
  <c r="R20" i="5" s="1"/>
  <c r="R9" i="1" s="1"/>
  <c r="R152" i="2"/>
  <c r="R154" i="2"/>
  <c r="R12" i="4"/>
  <c r="R13" i="4" s="1"/>
  <c r="G110" i="3"/>
  <c r="G146" i="3"/>
  <c r="E65" i="7"/>
  <c r="I16" i="4"/>
  <c r="I17" i="4" s="1"/>
  <c r="I152" i="3"/>
  <c r="H47" i="5"/>
  <c r="H18" i="5"/>
  <c r="H20" i="5" s="1"/>
  <c r="H9" i="1" s="1"/>
  <c r="H168" i="3"/>
  <c r="H127" i="3"/>
  <c r="H148" i="2"/>
  <c r="H95" i="2"/>
  <c r="H43" i="5"/>
  <c r="H48" i="5"/>
  <c r="H149" i="2"/>
  <c r="H167" i="3"/>
  <c r="H125" i="3"/>
  <c r="H138" i="2"/>
  <c r="H46" i="5"/>
  <c r="H44" i="5"/>
  <c r="H155" i="2"/>
  <c r="H151" i="3"/>
  <c r="H137" i="2"/>
  <c r="H88" i="2"/>
  <c r="E79" i="7"/>
  <c r="H42" i="5"/>
  <c r="H142" i="2"/>
  <c r="H151" i="2"/>
  <c r="H156" i="3"/>
  <c r="H154" i="2"/>
  <c r="H80" i="2"/>
  <c r="H38" i="5"/>
  <c r="H145" i="2"/>
  <c r="H171" i="3"/>
  <c r="H87" i="2"/>
  <c r="H34" i="5"/>
  <c r="H170" i="3"/>
  <c r="H86" i="2"/>
  <c r="H49" i="5"/>
  <c r="H81" i="3"/>
  <c r="H97" i="2"/>
  <c r="H152" i="2"/>
  <c r="H33" i="5"/>
  <c r="H126" i="3"/>
  <c r="H141" i="2"/>
  <c r="H12" i="4"/>
  <c r="H13" i="4" s="1"/>
  <c r="H13" i="2"/>
  <c r="K41" i="5"/>
  <c r="K35" i="5"/>
  <c r="H147" i="3"/>
  <c r="E66" i="7"/>
  <c r="Q46" i="5"/>
  <c r="Q44" i="5"/>
  <c r="Q149" i="2"/>
  <c r="Q138" i="2"/>
  <c r="Q42" i="5"/>
  <c r="Q151" i="2"/>
  <c r="Q137" i="2"/>
  <c r="Q38" i="5"/>
  <c r="Q145" i="2"/>
  <c r="Q154" i="2"/>
  <c r="Q88" i="2"/>
  <c r="Q12" i="4"/>
  <c r="Q13" i="4" s="1"/>
  <c r="Q34" i="5"/>
  <c r="Q80" i="2"/>
  <c r="Q95" i="2"/>
  <c r="Q49" i="5"/>
  <c r="Q155" i="2"/>
  <c r="Q87" i="2"/>
  <c r="Q13" i="2"/>
  <c r="Q33" i="5"/>
  <c r="Q152" i="2"/>
  <c r="Q86" i="2"/>
  <c r="Q47" i="5"/>
  <c r="Q18" i="5"/>
  <c r="Q20" i="5" s="1"/>
  <c r="Q9" i="1" s="1"/>
  <c r="Q141" i="2"/>
  <c r="Q97" i="2"/>
  <c r="Q43" i="5"/>
  <c r="Q48" i="5"/>
  <c r="Q142" i="2"/>
  <c r="Q148" i="2"/>
  <c r="H16" i="4"/>
  <c r="H152" i="3"/>
  <c r="E88" i="7"/>
  <c r="R59" i="2"/>
  <c r="R60" i="2" s="1"/>
  <c r="R39" i="5"/>
  <c r="R121" i="2"/>
  <c r="R122" i="2" s="1"/>
  <c r="G61" i="3"/>
  <c r="G108" i="3"/>
  <c r="G41" i="5"/>
  <c r="E63" i="7"/>
  <c r="G35" i="5"/>
  <c r="P34" i="5"/>
  <c r="P145" i="2"/>
  <c r="P141" i="2"/>
  <c r="P86" i="2"/>
  <c r="P48" i="5"/>
  <c r="P49" i="5"/>
  <c r="P148" i="2"/>
  <c r="P44" i="5"/>
  <c r="P33" i="5"/>
  <c r="P155" i="2"/>
  <c r="P138" i="2"/>
  <c r="P47" i="5"/>
  <c r="P18" i="5"/>
  <c r="P20" i="5" s="1"/>
  <c r="P9" i="1" s="1"/>
  <c r="P152" i="2"/>
  <c r="P137" i="2"/>
  <c r="P97" i="2"/>
  <c r="P12" i="4"/>
  <c r="P13" i="4" s="1"/>
  <c r="P43" i="5"/>
  <c r="P142" i="2"/>
  <c r="P154" i="2"/>
  <c r="P95" i="2"/>
  <c r="P46" i="5"/>
  <c r="P149" i="2"/>
  <c r="P88" i="2"/>
  <c r="P13" i="2"/>
  <c r="P42" i="5"/>
  <c r="P80" i="2"/>
  <c r="P38" i="5"/>
  <c r="P151" i="2"/>
  <c r="P87" i="2"/>
  <c r="I74" i="6"/>
  <c r="K141" i="3"/>
  <c r="K161" i="3"/>
  <c r="K166" i="3"/>
  <c r="K149" i="3"/>
  <c r="K165" i="3"/>
  <c r="K148" i="3"/>
  <c r="K145" i="3"/>
  <c r="K144" i="3"/>
  <c r="K143" i="3"/>
  <c r="K181" i="3"/>
  <c r="K142" i="3"/>
  <c r="K162" i="3"/>
  <c r="K139" i="3"/>
  <c r="K140" i="3"/>
  <c r="K147" i="3"/>
  <c r="K146" i="3"/>
  <c r="K167" i="3"/>
  <c r="K151" i="3"/>
  <c r="K156" i="3"/>
  <c r="K171" i="3"/>
  <c r="K152" i="3"/>
  <c r="K170" i="3"/>
  <c r="K168" i="3"/>
  <c r="K136" i="3"/>
  <c r="K112" i="3"/>
  <c r="K111" i="3"/>
  <c r="K51" i="3"/>
  <c r="K46" i="3"/>
  <c r="K130" i="3"/>
  <c r="K85" i="3"/>
  <c r="K55" i="3"/>
  <c r="K129" i="3"/>
  <c r="K84" i="3"/>
  <c r="K65" i="3"/>
  <c r="K54" i="3"/>
  <c r="K49" i="3"/>
  <c r="K45" i="3"/>
  <c r="K133" i="3"/>
  <c r="K83" i="3"/>
  <c r="K64" i="3"/>
  <c r="K132" i="3"/>
  <c r="K82" i="3"/>
  <c r="K63" i="3"/>
  <c r="K48" i="3"/>
  <c r="K137" i="3"/>
  <c r="K80" i="3"/>
  <c r="K74" i="3"/>
  <c r="K134" i="3"/>
  <c r="K40" i="3"/>
  <c r="K76" i="3"/>
  <c r="K39" i="3"/>
  <c r="K73" i="3"/>
  <c r="K75" i="3"/>
  <c r="K107" i="3"/>
  <c r="K106" i="3"/>
  <c r="K110" i="3"/>
  <c r="K62" i="3"/>
  <c r="K109" i="3"/>
  <c r="K138" i="3"/>
  <c r="K61" i="3"/>
  <c r="K60" i="3"/>
  <c r="K108" i="3"/>
  <c r="K81" i="3"/>
  <c r="K125" i="3"/>
  <c r="K126" i="3"/>
  <c r="K127" i="3"/>
  <c r="I70" i="6"/>
  <c r="J41" i="3"/>
  <c r="J56" i="3"/>
  <c r="J36" i="3"/>
  <c r="J21" i="3"/>
  <c r="J30" i="3"/>
  <c r="K17" i="3"/>
  <c r="K16" i="3"/>
  <c r="K20" i="3"/>
  <c r="K35" i="3"/>
  <c r="K34" i="3"/>
  <c r="K26" i="3"/>
  <c r="K19" i="3"/>
  <c r="K25" i="3"/>
  <c r="K74" i="6" l="1"/>
  <c r="K81" i="6"/>
  <c r="K86" i="6"/>
  <c r="L72" i="6"/>
  <c r="K72" i="6"/>
  <c r="L74" i="6"/>
  <c r="L86" i="6"/>
  <c r="L81" i="6"/>
  <c r="K73" i="6"/>
  <c r="M89" i="2"/>
  <c r="I86" i="6"/>
  <c r="L89" i="2"/>
  <c r="M98" i="2"/>
  <c r="L98" i="2"/>
  <c r="N98" i="2"/>
  <c r="I73" i="6"/>
  <c r="N89" i="2"/>
  <c r="I72" i="6"/>
  <c r="N86" i="6"/>
  <c r="N74" i="6"/>
  <c r="G89" i="2"/>
  <c r="G73" i="6"/>
  <c r="M74" i="6"/>
  <c r="F9" i="1"/>
  <c r="M81" i="6"/>
  <c r="T148" i="2"/>
  <c r="F86" i="6"/>
  <c r="T88" i="2"/>
  <c r="T87" i="2"/>
  <c r="T149" i="2"/>
  <c r="T86" i="2"/>
  <c r="T154" i="2"/>
  <c r="G72" i="6"/>
  <c r="T137" i="2"/>
  <c r="T141" i="2"/>
  <c r="T59" i="2"/>
  <c r="T80" i="2"/>
  <c r="I78" i="6"/>
  <c r="T142" i="2"/>
  <c r="T13" i="2"/>
  <c r="T151" i="2"/>
  <c r="T152" i="2"/>
  <c r="T138" i="2"/>
  <c r="T97" i="2"/>
  <c r="T145" i="2"/>
  <c r="H73" i="6"/>
  <c r="T60" i="2"/>
  <c r="T13" i="4"/>
  <c r="F74" i="6"/>
  <c r="F73" i="6"/>
  <c r="T121" i="2"/>
  <c r="T42" i="5"/>
  <c r="T122" i="2"/>
  <c r="H17" i="4"/>
  <c r="T17" i="4" s="1"/>
  <c r="T16" i="4"/>
  <c r="T12" i="4"/>
  <c r="T155" i="2"/>
  <c r="T35" i="5"/>
  <c r="T95" i="2"/>
  <c r="P74" i="6"/>
  <c r="P81" i="6"/>
  <c r="P86" i="6"/>
  <c r="O86" i="6"/>
  <c r="O74" i="6"/>
  <c r="O81" i="6"/>
  <c r="J89" i="2"/>
  <c r="T41" i="5"/>
  <c r="T20" i="5"/>
  <c r="J98" i="2"/>
  <c r="Q98" i="2"/>
  <c r="T48" i="5"/>
  <c r="T33" i="5"/>
  <c r="T34" i="5"/>
  <c r="T44" i="5"/>
  <c r="H98" i="2"/>
  <c r="T46" i="5"/>
  <c r="K98" i="2"/>
  <c r="T39" i="5"/>
  <c r="T18" i="5"/>
  <c r="P98" i="2"/>
  <c r="F72" i="6"/>
  <c r="T38" i="5"/>
  <c r="T47" i="5"/>
  <c r="O89" i="2"/>
  <c r="K89" i="2"/>
  <c r="O98" i="2"/>
  <c r="P89" i="2"/>
  <c r="H72" i="6"/>
  <c r="I89" i="2"/>
  <c r="G74" i="6"/>
  <c r="G86" i="6"/>
  <c r="G81" i="6"/>
  <c r="Q89" i="2"/>
  <c r="R98" i="2"/>
  <c r="Q74" i="6"/>
  <c r="Q81" i="6"/>
  <c r="Q86" i="6"/>
  <c r="T49" i="5"/>
  <c r="J74" i="6"/>
  <c r="J81" i="6"/>
  <c r="J86" i="6"/>
  <c r="H74" i="6"/>
  <c r="H86" i="6"/>
  <c r="H81" i="6"/>
  <c r="H89" i="2"/>
  <c r="R89" i="2"/>
  <c r="T43" i="5"/>
  <c r="N166" i="3"/>
  <c r="N149" i="3"/>
  <c r="N165" i="3"/>
  <c r="N148" i="3"/>
  <c r="N145" i="3"/>
  <c r="N144" i="3"/>
  <c r="N143" i="3"/>
  <c r="N181" i="3"/>
  <c r="N142" i="3"/>
  <c r="N162" i="3"/>
  <c r="N141" i="3"/>
  <c r="N161" i="3"/>
  <c r="N139" i="3"/>
  <c r="N146" i="3"/>
  <c r="N140" i="3"/>
  <c r="N147" i="3"/>
  <c r="N156" i="3"/>
  <c r="N171" i="3"/>
  <c r="N170" i="3"/>
  <c r="N168" i="3"/>
  <c r="N152" i="3"/>
  <c r="N167" i="3"/>
  <c r="N151" i="3"/>
  <c r="K41" i="3"/>
  <c r="J73" i="6"/>
  <c r="K56" i="3"/>
  <c r="J70" i="6"/>
  <c r="N111" i="3"/>
  <c r="N51" i="3"/>
  <c r="N46" i="3"/>
  <c r="N75" i="3"/>
  <c r="N130" i="3"/>
  <c r="N85" i="3"/>
  <c r="N55" i="3"/>
  <c r="N129" i="3"/>
  <c r="N84" i="3"/>
  <c r="N65" i="3"/>
  <c r="N54" i="3"/>
  <c r="N49" i="3"/>
  <c r="N45" i="3"/>
  <c r="N133" i="3"/>
  <c r="N83" i="3"/>
  <c r="N64" i="3"/>
  <c r="N132" i="3"/>
  <c r="N82" i="3"/>
  <c r="N63" i="3"/>
  <c r="N48" i="3"/>
  <c r="N137" i="3"/>
  <c r="N80" i="3"/>
  <c r="N136" i="3"/>
  <c r="N112" i="3"/>
  <c r="N73" i="3"/>
  <c r="N74" i="3"/>
  <c r="N40" i="3"/>
  <c r="N39" i="3"/>
  <c r="N76" i="3"/>
  <c r="N134" i="3"/>
  <c r="N106" i="3"/>
  <c r="N110" i="3"/>
  <c r="N138" i="3"/>
  <c r="N62" i="3"/>
  <c r="N60" i="3"/>
  <c r="N109" i="3"/>
  <c r="N107" i="3"/>
  <c r="N81" i="3"/>
  <c r="N108" i="3"/>
  <c r="N125" i="3"/>
  <c r="N61" i="3"/>
  <c r="N127" i="3"/>
  <c r="N126" i="3"/>
  <c r="J72" i="6"/>
  <c r="K21" i="3"/>
  <c r="K36" i="3"/>
  <c r="K30" i="3"/>
  <c r="N16" i="3"/>
  <c r="N20" i="3"/>
  <c r="N35" i="3"/>
  <c r="N34" i="3"/>
  <c r="N26" i="3"/>
  <c r="N19" i="3"/>
  <c r="N25" i="3"/>
  <c r="N17" i="3"/>
  <c r="T9" i="1" l="1"/>
  <c r="J78" i="6"/>
  <c r="T89" i="2"/>
  <c r="E86" i="6"/>
  <c r="E81" i="6"/>
  <c r="E74" i="6"/>
  <c r="O149" i="3"/>
  <c r="O165" i="3"/>
  <c r="O148" i="3"/>
  <c r="O145" i="3"/>
  <c r="O144" i="3"/>
  <c r="O143" i="3"/>
  <c r="O181" i="3"/>
  <c r="O142" i="3"/>
  <c r="O162" i="3"/>
  <c r="O141" i="3"/>
  <c r="O161" i="3"/>
  <c r="O166" i="3"/>
  <c r="O139" i="3"/>
  <c r="O146" i="3"/>
  <c r="O140" i="3"/>
  <c r="O167" i="3"/>
  <c r="O151" i="3"/>
  <c r="O147" i="3"/>
  <c r="O156" i="3"/>
  <c r="O171" i="3"/>
  <c r="O170" i="3"/>
  <c r="O168" i="3"/>
  <c r="O152" i="3"/>
  <c r="N41" i="3"/>
  <c r="M70" i="6"/>
  <c r="M72" i="6"/>
  <c r="N56" i="3"/>
  <c r="O46" i="3"/>
  <c r="O130" i="3"/>
  <c r="O85" i="3"/>
  <c r="O55" i="3"/>
  <c r="O129" i="3"/>
  <c r="O84" i="3"/>
  <c r="O65" i="3"/>
  <c r="O54" i="3"/>
  <c r="O49" i="3"/>
  <c r="O45" i="3"/>
  <c r="O74" i="3"/>
  <c r="O133" i="3"/>
  <c r="O83" i="3"/>
  <c r="O64" i="3"/>
  <c r="O132" i="3"/>
  <c r="O82" i="3"/>
  <c r="O63" i="3"/>
  <c r="O48" i="3"/>
  <c r="O137" i="3"/>
  <c r="O80" i="3"/>
  <c r="O136" i="3"/>
  <c r="O112" i="3"/>
  <c r="O111" i="3"/>
  <c r="O51" i="3"/>
  <c r="O76" i="3"/>
  <c r="O75" i="3"/>
  <c r="O73" i="3"/>
  <c r="O39" i="3"/>
  <c r="O40" i="3"/>
  <c r="O134" i="3"/>
  <c r="O60" i="3"/>
  <c r="O138" i="3"/>
  <c r="O107" i="3"/>
  <c r="O110" i="3"/>
  <c r="O106" i="3"/>
  <c r="O62" i="3"/>
  <c r="O61" i="3"/>
  <c r="O109" i="3"/>
  <c r="O108" i="3"/>
  <c r="O81" i="3"/>
  <c r="O127" i="3"/>
  <c r="O125" i="3"/>
  <c r="O126" i="3"/>
  <c r="M73" i="6"/>
  <c r="N36" i="3"/>
  <c r="N21" i="3"/>
  <c r="O16" i="3"/>
  <c r="O20" i="3"/>
  <c r="O35" i="3"/>
  <c r="O34" i="3"/>
  <c r="O26" i="3"/>
  <c r="O19" i="3"/>
  <c r="O25" i="3"/>
  <c r="O17" i="3"/>
  <c r="N30" i="3"/>
  <c r="Y74" i="6" l="1"/>
  <c r="L74" i="7"/>
  <c r="K74" i="7"/>
  <c r="Y81" i="6"/>
  <c r="L81" i="7"/>
  <c r="K81" i="7"/>
  <c r="M86" i="7"/>
  <c r="L86" i="7"/>
  <c r="K86" i="7"/>
  <c r="N86" i="7"/>
  <c r="O86" i="7"/>
  <c r="H86" i="7"/>
  <c r="I169" i="3" s="1"/>
  <c r="J86" i="7"/>
  <c r="K169" i="3" s="1"/>
  <c r="F86" i="7"/>
  <c r="G86" i="3" s="1"/>
  <c r="Q86" i="7"/>
  <c r="P81" i="7"/>
  <c r="Q35" i="4" s="1"/>
  <c r="Q37" i="4" s="1"/>
  <c r="Q39" i="4" s="1"/>
  <c r="M81" i="7"/>
  <c r="G86" i="7"/>
  <c r="H86" i="3" s="1"/>
  <c r="Q81" i="7"/>
  <c r="I86" i="7"/>
  <c r="J86" i="3" s="1"/>
  <c r="Y86" i="6"/>
  <c r="H81" i="7"/>
  <c r="I159" i="3" s="1"/>
  <c r="P86" i="7"/>
  <c r="M78" i="6"/>
  <c r="I81" i="7"/>
  <c r="J159" i="3" s="1"/>
  <c r="F81" i="7"/>
  <c r="G172" i="3" s="1"/>
  <c r="O81" i="7"/>
  <c r="N81" i="7"/>
  <c r="J81" i="7"/>
  <c r="K143" i="2" s="1"/>
  <c r="G81" i="7"/>
  <c r="H173" i="3" s="1"/>
  <c r="P74" i="7"/>
  <c r="O74" i="7"/>
  <c r="I74" i="7"/>
  <c r="M74" i="7"/>
  <c r="N74" i="7"/>
  <c r="F74" i="7"/>
  <c r="Q74" i="7"/>
  <c r="J74" i="7"/>
  <c r="H74" i="7"/>
  <c r="G74" i="7"/>
  <c r="P148" i="3"/>
  <c r="P145" i="3"/>
  <c r="P144" i="3"/>
  <c r="P143" i="3"/>
  <c r="P181" i="3"/>
  <c r="P142" i="3"/>
  <c r="P162" i="3"/>
  <c r="P141" i="3"/>
  <c r="P161" i="3"/>
  <c r="P166" i="3"/>
  <c r="P149" i="3"/>
  <c r="P165" i="3"/>
  <c r="P140" i="3"/>
  <c r="P139" i="3"/>
  <c r="P146" i="3"/>
  <c r="P171" i="3"/>
  <c r="P170" i="3"/>
  <c r="P168" i="3"/>
  <c r="P147" i="3"/>
  <c r="P167" i="3"/>
  <c r="P151" i="3"/>
  <c r="P156" i="3"/>
  <c r="P152" i="3"/>
  <c r="P169" i="3"/>
  <c r="N72" i="6"/>
  <c r="N70" i="6"/>
  <c r="O41" i="3"/>
  <c r="P130" i="3"/>
  <c r="P85" i="3"/>
  <c r="P55" i="3"/>
  <c r="P129" i="3"/>
  <c r="P84" i="3"/>
  <c r="P65" i="3"/>
  <c r="P54" i="3"/>
  <c r="P49" i="3"/>
  <c r="P45" i="3"/>
  <c r="P133" i="3"/>
  <c r="P83" i="3"/>
  <c r="P64" i="3"/>
  <c r="P132" i="3"/>
  <c r="P82" i="3"/>
  <c r="P63" i="3"/>
  <c r="P48" i="3"/>
  <c r="P137" i="3"/>
  <c r="P80" i="3"/>
  <c r="P136" i="3"/>
  <c r="P112" i="3"/>
  <c r="P111" i="3"/>
  <c r="P51" i="3"/>
  <c r="P46" i="3"/>
  <c r="P74" i="3"/>
  <c r="P134" i="3"/>
  <c r="P76" i="3"/>
  <c r="P75" i="3"/>
  <c r="P73" i="3"/>
  <c r="P39" i="3"/>
  <c r="P40" i="3"/>
  <c r="P62" i="3"/>
  <c r="P109" i="3"/>
  <c r="P60" i="3"/>
  <c r="P107" i="3"/>
  <c r="P106" i="3"/>
  <c r="P138" i="3"/>
  <c r="P110" i="3"/>
  <c r="P81" i="3"/>
  <c r="P126" i="3"/>
  <c r="P125" i="3"/>
  <c r="P127" i="3"/>
  <c r="P61" i="3"/>
  <c r="P108" i="3"/>
  <c r="P86" i="3"/>
  <c r="O56" i="3"/>
  <c r="N73" i="6"/>
  <c r="O30" i="3"/>
  <c r="O36" i="3"/>
  <c r="O21" i="3"/>
  <c r="P20" i="3"/>
  <c r="P35" i="3"/>
  <c r="P34" i="3"/>
  <c r="P26" i="3"/>
  <c r="P19" i="3"/>
  <c r="P25" i="3"/>
  <c r="P17" i="3"/>
  <c r="P16" i="3"/>
  <c r="I86" i="3" l="1"/>
  <c r="K86" i="3"/>
  <c r="L35" i="4"/>
  <c r="L37" i="4" s="1"/>
  <c r="L39" i="4" s="1"/>
  <c r="L36" i="5"/>
  <c r="M35" i="4"/>
  <c r="M37" i="4" s="1"/>
  <c r="M39" i="4" s="1"/>
  <c r="M36" i="5"/>
  <c r="L20" i="4"/>
  <c r="L21" i="4" s="1"/>
  <c r="K85" i="6" s="1"/>
  <c r="L51" i="5"/>
  <c r="L50" i="5"/>
  <c r="M51" i="5"/>
  <c r="M50" i="5"/>
  <c r="M20" i="4"/>
  <c r="M21" i="4" s="1"/>
  <c r="L85" i="6" s="1"/>
  <c r="O169" i="3"/>
  <c r="M169" i="3"/>
  <c r="M86" i="3"/>
  <c r="M173" i="3"/>
  <c r="M172" i="3"/>
  <c r="M159" i="3"/>
  <c r="L153" i="3"/>
  <c r="L155" i="3"/>
  <c r="M153" i="3"/>
  <c r="M155" i="3"/>
  <c r="L159" i="3"/>
  <c r="L173" i="3"/>
  <c r="L172" i="3"/>
  <c r="L169" i="3"/>
  <c r="L86" i="3"/>
  <c r="N86" i="3"/>
  <c r="H36" i="5"/>
  <c r="G169" i="3"/>
  <c r="L143" i="2"/>
  <c r="L67" i="2"/>
  <c r="M143" i="2"/>
  <c r="M67" i="2"/>
  <c r="O35" i="4"/>
  <c r="O37" i="4" s="1"/>
  <c r="O39" i="4" s="1"/>
  <c r="N169" i="3"/>
  <c r="L153" i="2"/>
  <c r="L14" i="2"/>
  <c r="L139" i="2"/>
  <c r="L81" i="2"/>
  <c r="L150" i="2"/>
  <c r="L156" i="2"/>
  <c r="O86" i="3"/>
  <c r="M156" i="2"/>
  <c r="M14" i="2"/>
  <c r="M150" i="2"/>
  <c r="M153" i="2"/>
  <c r="M81" i="2"/>
  <c r="M139" i="2"/>
  <c r="N36" i="5"/>
  <c r="H172" i="3"/>
  <c r="H143" i="2"/>
  <c r="P153" i="3"/>
  <c r="P173" i="3"/>
  <c r="R36" i="5"/>
  <c r="J172" i="3"/>
  <c r="Q36" i="5"/>
  <c r="Q67" i="2"/>
  <c r="K36" i="5"/>
  <c r="Q143" i="2"/>
  <c r="N35" i="4"/>
  <c r="N37" i="4" s="1"/>
  <c r="N39" i="4" s="1"/>
  <c r="H67" i="2"/>
  <c r="J36" i="5"/>
  <c r="N143" i="2"/>
  <c r="J173" i="3"/>
  <c r="H159" i="3"/>
  <c r="H35" i="4"/>
  <c r="H37" i="4" s="1"/>
  <c r="H39" i="4" s="1"/>
  <c r="J67" i="2"/>
  <c r="N67" i="2"/>
  <c r="J143" i="2"/>
  <c r="J35" i="4"/>
  <c r="J37" i="4" s="1"/>
  <c r="J39" i="4" s="1"/>
  <c r="N159" i="3"/>
  <c r="N172" i="3"/>
  <c r="N173" i="3"/>
  <c r="H169" i="3"/>
  <c r="P172" i="3"/>
  <c r="P143" i="2"/>
  <c r="R67" i="2"/>
  <c r="R35" i="4"/>
  <c r="R37" i="4" s="1"/>
  <c r="R39" i="4" s="1"/>
  <c r="P155" i="3"/>
  <c r="J169" i="3"/>
  <c r="E86" i="7"/>
  <c r="G67" i="2"/>
  <c r="G159" i="3"/>
  <c r="R143" i="2"/>
  <c r="P159" i="3"/>
  <c r="P35" i="4"/>
  <c r="P37" i="4" s="1"/>
  <c r="P39" i="4" s="1"/>
  <c r="P67" i="2"/>
  <c r="P36" i="5"/>
  <c r="I172" i="3"/>
  <c r="I67" i="2"/>
  <c r="I36" i="5"/>
  <c r="G35" i="4"/>
  <c r="G37" i="4" s="1"/>
  <c r="G39" i="4" s="1"/>
  <c r="G143" i="2"/>
  <c r="N78" i="6"/>
  <c r="I173" i="3"/>
  <c r="I143" i="2"/>
  <c r="I35" i="4"/>
  <c r="I37" i="4" s="1"/>
  <c r="I39" i="4" s="1"/>
  <c r="G36" i="5"/>
  <c r="G173" i="3"/>
  <c r="K35" i="4"/>
  <c r="K37" i="4" s="1"/>
  <c r="K39" i="4" s="1"/>
  <c r="E81" i="7"/>
  <c r="O159" i="3"/>
  <c r="O172" i="3"/>
  <c r="K67" i="2"/>
  <c r="O143" i="2"/>
  <c r="O36" i="5"/>
  <c r="K159" i="3"/>
  <c r="K173" i="3"/>
  <c r="O67" i="2"/>
  <c r="K172" i="3"/>
  <c r="O173" i="3"/>
  <c r="K81" i="2"/>
  <c r="K150" i="2"/>
  <c r="K153" i="2"/>
  <c r="K14" i="2"/>
  <c r="K51" i="5"/>
  <c r="K156" i="2"/>
  <c r="K50" i="5"/>
  <c r="K139" i="2"/>
  <c r="K20" i="4"/>
  <c r="K21" i="4" s="1"/>
  <c r="J85" i="6" s="1"/>
  <c r="K155" i="3"/>
  <c r="K153" i="3"/>
  <c r="G155" i="3"/>
  <c r="G51" i="5"/>
  <c r="E74" i="7"/>
  <c r="G50" i="5"/>
  <c r="G20" i="4"/>
  <c r="G14" i="2"/>
  <c r="G153" i="2"/>
  <c r="G156" i="2"/>
  <c r="G81" i="2"/>
  <c r="G139" i="2"/>
  <c r="G150" i="2"/>
  <c r="G153" i="3"/>
  <c r="G163" i="3"/>
  <c r="T163" i="3" s="1"/>
  <c r="O81" i="2"/>
  <c r="O156" i="2"/>
  <c r="O139" i="2"/>
  <c r="O150" i="2"/>
  <c r="O51" i="5"/>
  <c r="O153" i="2"/>
  <c r="O14" i="2"/>
  <c r="O50" i="5"/>
  <c r="O20" i="4"/>
  <c r="O21" i="4" s="1"/>
  <c r="N85" i="6" s="1"/>
  <c r="O155" i="3"/>
  <c r="O153" i="3"/>
  <c r="N20" i="4"/>
  <c r="N21" i="4" s="1"/>
  <c r="M85" i="6" s="1"/>
  <c r="N81" i="2"/>
  <c r="N51" i="5"/>
  <c r="N153" i="2"/>
  <c r="N50" i="5"/>
  <c r="N156" i="2"/>
  <c r="N139" i="2"/>
  <c r="N150" i="2"/>
  <c r="N14" i="2"/>
  <c r="N155" i="3"/>
  <c r="N153" i="3"/>
  <c r="J139" i="2"/>
  <c r="J81" i="2"/>
  <c r="J14" i="2"/>
  <c r="J150" i="2"/>
  <c r="J153" i="2"/>
  <c r="J156" i="2"/>
  <c r="J20" i="4"/>
  <c r="J21" i="4" s="1"/>
  <c r="I85" i="6" s="1"/>
  <c r="J153" i="3"/>
  <c r="J51" i="5"/>
  <c r="J50" i="5"/>
  <c r="J155" i="3"/>
  <c r="H155" i="3"/>
  <c r="H156" i="2"/>
  <c r="H14" i="2"/>
  <c r="H139" i="2"/>
  <c r="H20" i="4"/>
  <c r="H21" i="4" s="1"/>
  <c r="G85" i="6" s="1"/>
  <c r="H150" i="2"/>
  <c r="H81" i="2"/>
  <c r="H153" i="3"/>
  <c r="H153" i="2"/>
  <c r="H51" i="5"/>
  <c r="H50" i="5"/>
  <c r="P51" i="5"/>
  <c r="P20" i="4"/>
  <c r="P21" i="4" s="1"/>
  <c r="O85" i="6" s="1"/>
  <c r="P50" i="5"/>
  <c r="P139" i="2"/>
  <c r="P156" i="2"/>
  <c r="P14" i="2"/>
  <c r="P153" i="2"/>
  <c r="P81" i="2"/>
  <c r="P150" i="2"/>
  <c r="Q150" i="2"/>
  <c r="Q153" i="2"/>
  <c r="Q156" i="2"/>
  <c r="Q14" i="2"/>
  <c r="Q20" i="4"/>
  <c r="Q21" i="4" s="1"/>
  <c r="P85" i="6" s="1"/>
  <c r="Q81" i="2"/>
  <c r="Q139" i="2"/>
  <c r="Q51" i="5"/>
  <c r="Q50" i="5"/>
  <c r="I51" i="5"/>
  <c r="I153" i="3"/>
  <c r="I81" i="2"/>
  <c r="I14" i="2"/>
  <c r="I139" i="2"/>
  <c r="I150" i="2"/>
  <c r="I153" i="2"/>
  <c r="I50" i="5"/>
  <c r="I155" i="3"/>
  <c r="I156" i="2"/>
  <c r="I20" i="4"/>
  <c r="I21" i="4" s="1"/>
  <c r="H85" i="6" s="1"/>
  <c r="R81" i="2"/>
  <c r="R14" i="2"/>
  <c r="R139" i="2"/>
  <c r="R150" i="2"/>
  <c r="R153" i="2"/>
  <c r="R156" i="2"/>
  <c r="R20" i="4"/>
  <c r="R21" i="4" s="1"/>
  <c r="Q85" i="6" s="1"/>
  <c r="R51" i="5"/>
  <c r="R50" i="5"/>
  <c r="Q145" i="3"/>
  <c r="Q144" i="3"/>
  <c r="Q143" i="3"/>
  <c r="Q181" i="3"/>
  <c r="Q142" i="3"/>
  <c r="Q162" i="3"/>
  <c r="Q141" i="3"/>
  <c r="Q161" i="3"/>
  <c r="Q166" i="3"/>
  <c r="Q149" i="3"/>
  <c r="Q165" i="3"/>
  <c r="Q148" i="3"/>
  <c r="Q146" i="3"/>
  <c r="Q140" i="3"/>
  <c r="Q139" i="3"/>
  <c r="Q147" i="3"/>
  <c r="Q167" i="3"/>
  <c r="Q151" i="3"/>
  <c r="Q156" i="3"/>
  <c r="Q171" i="3"/>
  <c r="Q153" i="3"/>
  <c r="Q155" i="3"/>
  <c r="Q152" i="3"/>
  <c r="Q170" i="3"/>
  <c r="Q168" i="3"/>
  <c r="Q172" i="3"/>
  <c r="Q169" i="3"/>
  <c r="Q159" i="3"/>
  <c r="Q173" i="3"/>
  <c r="O73" i="6"/>
  <c r="P41" i="3"/>
  <c r="O70" i="6"/>
  <c r="Q129" i="3"/>
  <c r="Q84" i="3"/>
  <c r="Q65" i="3"/>
  <c r="Q54" i="3"/>
  <c r="Q49" i="3"/>
  <c r="Q45" i="3"/>
  <c r="Q133" i="3"/>
  <c r="Q83" i="3"/>
  <c r="Q64" i="3"/>
  <c r="Q132" i="3"/>
  <c r="Q82" i="3"/>
  <c r="Q63" i="3"/>
  <c r="Q48" i="3"/>
  <c r="Q137" i="3"/>
  <c r="Q80" i="3"/>
  <c r="Q136" i="3"/>
  <c r="Q112" i="3"/>
  <c r="Q111" i="3"/>
  <c r="Q51" i="3"/>
  <c r="Q46" i="3"/>
  <c r="Q40" i="3"/>
  <c r="Q130" i="3"/>
  <c r="Q85" i="3"/>
  <c r="Q55" i="3"/>
  <c r="Q75" i="3"/>
  <c r="Q39" i="3"/>
  <c r="Q76" i="3"/>
  <c r="Q74" i="3"/>
  <c r="Q134" i="3"/>
  <c r="Q73" i="3"/>
  <c r="Q106" i="3"/>
  <c r="Q60" i="3"/>
  <c r="Q107" i="3"/>
  <c r="Q110" i="3"/>
  <c r="Q108" i="3"/>
  <c r="Q138" i="3"/>
  <c r="Q62" i="3"/>
  <c r="Q109" i="3"/>
  <c r="Q81" i="3"/>
  <c r="Q61" i="3"/>
  <c r="Q125" i="3"/>
  <c r="Q127" i="3"/>
  <c r="Q126" i="3"/>
  <c r="Q86" i="3"/>
  <c r="O72" i="6"/>
  <c r="P56" i="3"/>
  <c r="P36" i="3"/>
  <c r="P21" i="3"/>
  <c r="Q20" i="3"/>
  <c r="Q35" i="3"/>
  <c r="Q34" i="3"/>
  <c r="Q26" i="3"/>
  <c r="Q19" i="3"/>
  <c r="Q25" i="3"/>
  <c r="Q17" i="3"/>
  <c r="Q16" i="3"/>
  <c r="P30" i="3"/>
  <c r="T143" i="2" l="1"/>
  <c r="T37" i="4"/>
  <c r="O78" i="6"/>
  <c r="T36" i="5"/>
  <c r="T67" i="2"/>
  <c r="T139" i="2"/>
  <c r="T81" i="2"/>
  <c r="T153" i="2"/>
  <c r="T14" i="2"/>
  <c r="T39" i="4"/>
  <c r="G21" i="4"/>
  <c r="T21" i="4" s="1"/>
  <c r="T20" i="4"/>
  <c r="T156" i="2"/>
  <c r="T150" i="2"/>
  <c r="T35" i="4"/>
  <c r="T50" i="5"/>
  <c r="T51" i="5"/>
  <c r="R144" i="3"/>
  <c r="T144" i="3" s="1"/>
  <c r="R143" i="3"/>
  <c r="T143" i="3" s="1"/>
  <c r="R181" i="3"/>
  <c r="T181" i="3" s="1"/>
  <c r="R142" i="3"/>
  <c r="T142" i="3" s="1"/>
  <c r="R162" i="3"/>
  <c r="T162" i="3" s="1"/>
  <c r="R141" i="3"/>
  <c r="T141" i="3" s="1"/>
  <c r="R161" i="3"/>
  <c r="T161" i="3" s="1"/>
  <c r="R166" i="3"/>
  <c r="T166" i="3" s="1"/>
  <c r="R149" i="3"/>
  <c r="T149" i="3" s="1"/>
  <c r="R165" i="3"/>
  <c r="T165" i="3" s="1"/>
  <c r="R148" i="3"/>
  <c r="T148" i="3" s="1"/>
  <c r="R145" i="3"/>
  <c r="T145" i="3" s="1"/>
  <c r="R140" i="3"/>
  <c r="T140" i="3" s="1"/>
  <c r="R139" i="3"/>
  <c r="T139" i="3" s="1"/>
  <c r="R146" i="3"/>
  <c r="T146" i="3" s="1"/>
  <c r="R151" i="3"/>
  <c r="T151" i="3" s="1"/>
  <c r="R156" i="3"/>
  <c r="T156" i="3" s="1"/>
  <c r="R171" i="3"/>
  <c r="T171" i="3" s="1"/>
  <c r="R170" i="3"/>
  <c r="T170" i="3" s="1"/>
  <c r="R147" i="3"/>
  <c r="T147" i="3" s="1"/>
  <c r="R153" i="3"/>
  <c r="T153" i="3" s="1"/>
  <c r="R155" i="3"/>
  <c r="T155" i="3" s="1"/>
  <c r="R168" i="3"/>
  <c r="T168" i="3" s="1"/>
  <c r="R152" i="3"/>
  <c r="T152" i="3" s="1"/>
  <c r="R167" i="3"/>
  <c r="T167" i="3" s="1"/>
  <c r="R159" i="3"/>
  <c r="T159" i="3" s="1"/>
  <c r="R169" i="3"/>
  <c r="T169" i="3" s="1"/>
  <c r="R173" i="3"/>
  <c r="T173" i="3" s="1"/>
  <c r="R172" i="3"/>
  <c r="T172" i="3" s="1"/>
  <c r="P70" i="6"/>
  <c r="Q41" i="3"/>
  <c r="R133" i="3"/>
  <c r="T133" i="3" s="1"/>
  <c r="R83" i="3"/>
  <c r="T83" i="3" s="1"/>
  <c r="R64" i="3"/>
  <c r="T64" i="3" s="1"/>
  <c r="R132" i="3"/>
  <c r="T132" i="3" s="1"/>
  <c r="R82" i="3"/>
  <c r="T82" i="3" s="1"/>
  <c r="R63" i="3"/>
  <c r="T63" i="3" s="1"/>
  <c r="R48" i="3"/>
  <c r="T48" i="3" s="1"/>
  <c r="R137" i="3"/>
  <c r="T137" i="3" s="1"/>
  <c r="R80" i="3"/>
  <c r="T80" i="3" s="1"/>
  <c r="R136" i="3"/>
  <c r="T136" i="3" s="1"/>
  <c r="R112" i="3"/>
  <c r="T112" i="3" s="1"/>
  <c r="R111" i="3"/>
  <c r="T111" i="3" s="1"/>
  <c r="R51" i="3"/>
  <c r="T51" i="3" s="1"/>
  <c r="R46" i="3"/>
  <c r="T46" i="3" s="1"/>
  <c r="R130" i="3"/>
  <c r="T130" i="3" s="1"/>
  <c r="R85" i="3"/>
  <c r="T85" i="3" s="1"/>
  <c r="R55" i="3"/>
  <c r="T55" i="3" s="1"/>
  <c r="R129" i="3"/>
  <c r="T129" i="3" s="1"/>
  <c r="R84" i="3"/>
  <c r="T84" i="3" s="1"/>
  <c r="R65" i="3"/>
  <c r="T65" i="3" s="1"/>
  <c r="R54" i="3"/>
  <c r="T54" i="3" s="1"/>
  <c r="R49" i="3"/>
  <c r="T49" i="3" s="1"/>
  <c r="R45" i="3"/>
  <c r="T45" i="3" s="1"/>
  <c r="R39" i="3"/>
  <c r="T39" i="3" s="1"/>
  <c r="R76" i="3"/>
  <c r="T76" i="3" s="1"/>
  <c r="R134" i="3"/>
  <c r="T134" i="3" s="1"/>
  <c r="R75" i="3"/>
  <c r="T75" i="3" s="1"/>
  <c r="R74" i="3"/>
  <c r="T74" i="3" s="1"/>
  <c r="R73" i="3"/>
  <c r="T73" i="3" s="1"/>
  <c r="R40" i="3"/>
  <c r="T40" i="3" s="1"/>
  <c r="R62" i="3"/>
  <c r="T62" i="3" s="1"/>
  <c r="R60" i="3"/>
  <c r="T60" i="3" s="1"/>
  <c r="R110" i="3"/>
  <c r="T110" i="3" s="1"/>
  <c r="R109" i="3"/>
  <c r="T109" i="3" s="1"/>
  <c r="R107" i="3"/>
  <c r="T107" i="3" s="1"/>
  <c r="R138" i="3"/>
  <c r="T138" i="3" s="1"/>
  <c r="R106" i="3"/>
  <c r="T106" i="3" s="1"/>
  <c r="R126" i="3"/>
  <c r="T126" i="3" s="1"/>
  <c r="R108" i="3"/>
  <c r="T108" i="3" s="1"/>
  <c r="R127" i="3"/>
  <c r="T127" i="3" s="1"/>
  <c r="R125" i="3"/>
  <c r="T125" i="3" s="1"/>
  <c r="R81" i="3"/>
  <c r="T81" i="3" s="1"/>
  <c r="R61" i="3"/>
  <c r="T61" i="3" s="1"/>
  <c r="R86" i="3"/>
  <c r="T86" i="3" s="1"/>
  <c r="P73" i="6"/>
  <c r="P72" i="6"/>
  <c r="Q56" i="3"/>
  <c r="Q30" i="3"/>
  <c r="Q36" i="3"/>
  <c r="Q21" i="3"/>
  <c r="R35" i="3"/>
  <c r="T35" i="3" s="1"/>
  <c r="R34" i="3"/>
  <c r="T34" i="3" s="1"/>
  <c r="R26" i="3"/>
  <c r="T26" i="3" s="1"/>
  <c r="R19" i="3"/>
  <c r="T19" i="3" s="1"/>
  <c r="R25" i="3"/>
  <c r="T25" i="3" s="1"/>
  <c r="R17" i="3"/>
  <c r="T17" i="3" s="1"/>
  <c r="R16" i="3"/>
  <c r="T16" i="3" s="1"/>
  <c r="R20" i="3"/>
  <c r="T20" i="3" s="1"/>
  <c r="P78" i="6" l="1"/>
  <c r="F85" i="6"/>
  <c r="E85" i="6" s="1"/>
  <c r="R41" i="3"/>
  <c r="T41" i="3" s="1"/>
  <c r="R56" i="3"/>
  <c r="T56" i="3" s="1"/>
  <c r="Q73" i="6"/>
  <c r="Q72" i="6"/>
  <c r="E72" i="6" s="1"/>
  <c r="Q70" i="6"/>
  <c r="E70" i="6" s="1"/>
  <c r="R36" i="3"/>
  <c r="T36" i="3" s="1"/>
  <c r="R21" i="3"/>
  <c r="R30" i="3"/>
  <c r="T30" i="3" s="1"/>
  <c r="Y70" i="6" l="1"/>
  <c r="L70" i="7"/>
  <c r="M72" i="3" s="1"/>
  <c r="M77" i="3" s="1"/>
  <c r="L69" i="6" s="1"/>
  <c r="K70" i="7"/>
  <c r="L72" i="3" s="1"/>
  <c r="L77" i="3" s="1"/>
  <c r="K69" i="6" s="1"/>
  <c r="Y72" i="6"/>
  <c r="L72" i="7"/>
  <c r="M113" i="3" s="1"/>
  <c r="M114" i="3" s="1"/>
  <c r="K72" i="7"/>
  <c r="L113" i="3" s="1"/>
  <c r="L114" i="3" s="1"/>
  <c r="Y85" i="6"/>
  <c r="L85" i="7"/>
  <c r="K85" i="7"/>
  <c r="T21" i="3"/>
  <c r="Q78" i="6"/>
  <c r="E78" i="6" s="1"/>
  <c r="F85" i="7"/>
  <c r="G70" i="2" s="1"/>
  <c r="E73" i="6"/>
  <c r="P72" i="7"/>
  <c r="F70" i="7"/>
  <c r="G72" i="3" s="1"/>
  <c r="G70" i="7"/>
  <c r="H72" i="3" s="1"/>
  <c r="H77" i="3" s="1"/>
  <c r="G69" i="6" s="1"/>
  <c r="H70" i="7"/>
  <c r="I72" i="3" s="1"/>
  <c r="I77" i="3" s="1"/>
  <c r="H69" i="6" s="1"/>
  <c r="I70" i="7"/>
  <c r="J72" i="3" s="1"/>
  <c r="J77" i="3" s="1"/>
  <c r="I69" i="6" s="1"/>
  <c r="J70" i="7"/>
  <c r="K72" i="3" s="1"/>
  <c r="K77" i="3" s="1"/>
  <c r="J69" i="6" s="1"/>
  <c r="M70" i="7"/>
  <c r="N72" i="3" s="1"/>
  <c r="N77" i="3" s="1"/>
  <c r="M69" i="6" s="1"/>
  <c r="N70" i="7"/>
  <c r="O70" i="7"/>
  <c r="G68" i="2"/>
  <c r="Q85" i="7"/>
  <c r="O85" i="7"/>
  <c r="P85" i="7"/>
  <c r="G85" i="7"/>
  <c r="H85" i="7"/>
  <c r="I85" i="7"/>
  <c r="M85" i="7"/>
  <c r="N85" i="7"/>
  <c r="J85" i="7"/>
  <c r="G72" i="7"/>
  <c r="H113" i="3" s="1"/>
  <c r="H114" i="3" s="1"/>
  <c r="I72" i="7"/>
  <c r="J113" i="3" s="1"/>
  <c r="J114" i="3" s="1"/>
  <c r="F72" i="7"/>
  <c r="G113" i="3" s="1"/>
  <c r="J72" i="7"/>
  <c r="K113" i="3" s="1"/>
  <c r="K114" i="3" s="1"/>
  <c r="H72" i="7"/>
  <c r="I113" i="3" s="1"/>
  <c r="I114" i="3" s="1"/>
  <c r="M72" i="7"/>
  <c r="N113" i="3" s="1"/>
  <c r="N114" i="3" s="1"/>
  <c r="N72" i="7"/>
  <c r="O113" i="3" s="1"/>
  <c r="O114" i="3" s="1"/>
  <c r="O72" i="7"/>
  <c r="P70" i="7"/>
  <c r="Q72" i="7"/>
  <c r="R113" i="3" s="1"/>
  <c r="R114" i="3" s="1"/>
  <c r="Q70" i="7"/>
  <c r="G69" i="2" l="1"/>
  <c r="P72" i="3"/>
  <c r="P77" i="3" s="1"/>
  <c r="O69" i="6" s="1"/>
  <c r="M68" i="2"/>
  <c r="M69" i="2"/>
  <c r="M70" i="2"/>
  <c r="R72" i="3"/>
  <c r="R77" i="3" s="1"/>
  <c r="Q69" i="6" s="1"/>
  <c r="O72" i="3"/>
  <c r="O77" i="3" s="1"/>
  <c r="N69" i="6" s="1"/>
  <c r="L69" i="2"/>
  <c r="L68" i="2"/>
  <c r="L70" i="2"/>
  <c r="L78" i="7"/>
  <c r="K78" i="7"/>
  <c r="Y73" i="6"/>
  <c r="L73" i="7"/>
  <c r="K73" i="7"/>
  <c r="Q113" i="3"/>
  <c r="Q114" i="3" s="1"/>
  <c r="Q72" i="3"/>
  <c r="Q77" i="3" s="1"/>
  <c r="P69" i="6" s="1"/>
  <c r="P113" i="3"/>
  <c r="P114" i="3" s="1"/>
  <c r="M73" i="7"/>
  <c r="I73" i="7"/>
  <c r="J59" i="3" s="1"/>
  <c r="Q73" i="7"/>
  <c r="F73" i="7"/>
  <c r="G66" i="3" s="1"/>
  <c r="O73" i="7"/>
  <c r="P66" i="3" s="1"/>
  <c r="N73" i="7"/>
  <c r="O59" i="3" s="1"/>
  <c r="J73" i="7"/>
  <c r="K59" i="3" s="1"/>
  <c r="H73" i="7"/>
  <c r="I59" i="3" s="1"/>
  <c r="Y78" i="6"/>
  <c r="G73" i="7"/>
  <c r="H66" i="3" s="1"/>
  <c r="G77" i="3"/>
  <c r="G114" i="3"/>
  <c r="P73" i="7"/>
  <c r="E70" i="7"/>
  <c r="E85" i="7"/>
  <c r="E72" i="7"/>
  <c r="P69" i="2"/>
  <c r="P68" i="2"/>
  <c r="P70" i="2"/>
  <c r="K70" i="2"/>
  <c r="K68" i="2"/>
  <c r="K69" i="2"/>
  <c r="R68" i="2"/>
  <c r="R69" i="2"/>
  <c r="R70" i="2"/>
  <c r="O70" i="2"/>
  <c r="O68" i="2"/>
  <c r="O69" i="2"/>
  <c r="N70" i="2"/>
  <c r="N68" i="2"/>
  <c r="N69" i="2"/>
  <c r="J70" i="2"/>
  <c r="J68" i="2"/>
  <c r="J69" i="2"/>
  <c r="I68" i="2"/>
  <c r="I69" i="2"/>
  <c r="I70" i="2"/>
  <c r="H69" i="2"/>
  <c r="H70" i="2"/>
  <c r="H68" i="2"/>
  <c r="Q69" i="2"/>
  <c r="Q70" i="2"/>
  <c r="Q68" i="2"/>
  <c r="L66" i="3" l="1"/>
  <c r="L59" i="3"/>
  <c r="K71" i="6" s="1"/>
  <c r="M59" i="3"/>
  <c r="L71" i="6" s="1"/>
  <c r="M66" i="3"/>
  <c r="T72" i="3"/>
  <c r="K66" i="3"/>
  <c r="N66" i="3"/>
  <c r="T114" i="3"/>
  <c r="T113" i="3"/>
  <c r="G59" i="3"/>
  <c r="F71" i="6" s="1"/>
  <c r="J66" i="3"/>
  <c r="R59" i="3"/>
  <c r="R66" i="3"/>
  <c r="N59" i="3"/>
  <c r="M71" i="6" s="1"/>
  <c r="P59" i="3"/>
  <c r="O71" i="6" s="1"/>
  <c r="I66" i="3"/>
  <c r="H71" i="6" s="1"/>
  <c r="O66" i="3"/>
  <c r="N71" i="6" s="1"/>
  <c r="H59" i="3"/>
  <c r="G71" i="6" s="1"/>
  <c r="E73" i="7"/>
  <c r="F78" i="7"/>
  <c r="G78" i="7"/>
  <c r="H78" i="7"/>
  <c r="I78" i="7"/>
  <c r="J78" i="7"/>
  <c r="M78" i="7"/>
  <c r="N78" i="7"/>
  <c r="O78" i="7"/>
  <c r="P78" i="7"/>
  <c r="Q78" i="7"/>
  <c r="T70" i="2"/>
  <c r="T69" i="2"/>
  <c r="T68" i="2"/>
  <c r="F69" i="6"/>
  <c r="E69" i="6" s="1"/>
  <c r="T77" i="3"/>
  <c r="Q59" i="3"/>
  <c r="Q66" i="3"/>
  <c r="I71" i="6"/>
  <c r="J71" i="6"/>
  <c r="Q71" i="6" l="1"/>
  <c r="J69" i="7"/>
  <c r="K24" i="4" s="1"/>
  <c r="K25" i="4" s="1"/>
  <c r="K31" i="4" s="1"/>
  <c r="K41" i="4" s="1"/>
  <c r="J84" i="6" s="1"/>
  <c r="L69" i="7"/>
  <c r="M24" i="4" s="1"/>
  <c r="M25" i="4" s="1"/>
  <c r="M31" i="4" s="1"/>
  <c r="M41" i="4" s="1"/>
  <c r="L84" i="6" s="1"/>
  <c r="K69" i="7"/>
  <c r="L24" i="4" s="1"/>
  <c r="L25" i="4" s="1"/>
  <c r="L31" i="4" s="1"/>
  <c r="L41" i="4" s="1"/>
  <c r="K84" i="6" s="1"/>
  <c r="T66" i="3"/>
  <c r="T59" i="3"/>
  <c r="E78" i="7"/>
  <c r="I69" i="7"/>
  <c r="J24" i="4" s="1"/>
  <c r="J25" i="4" s="1"/>
  <c r="J31" i="4" s="1"/>
  <c r="J41" i="4" s="1"/>
  <c r="I84" i="6" s="1"/>
  <c r="M69" i="7"/>
  <c r="Y69" i="6"/>
  <c r="N69" i="7"/>
  <c r="O24" i="4" s="1"/>
  <c r="O25" i="4" s="1"/>
  <c r="O31" i="4" s="1"/>
  <c r="O41" i="4" s="1"/>
  <c r="N84" i="6" s="1"/>
  <c r="O69" i="7"/>
  <c r="P69" i="7"/>
  <c r="F69" i="7"/>
  <c r="G24" i="4" s="1"/>
  <c r="G69" i="7"/>
  <c r="H24" i="4" s="1"/>
  <c r="H25" i="4" s="1"/>
  <c r="H31" i="4" s="1"/>
  <c r="H41" i="4" s="1"/>
  <c r="G84" i="6" s="1"/>
  <c r="Q69" i="7"/>
  <c r="H69" i="7"/>
  <c r="I24" i="4" s="1"/>
  <c r="I25" i="4" s="1"/>
  <c r="I31" i="4" s="1"/>
  <c r="I41" i="4" s="1"/>
  <c r="H84" i="6" s="1"/>
  <c r="P71" i="6"/>
  <c r="E71" i="6" s="1"/>
  <c r="N24" i="4" l="1"/>
  <c r="N25" i="4" s="1"/>
  <c r="N31" i="4" s="1"/>
  <c r="N41" i="4" s="1"/>
  <c r="M84" i="6" s="1"/>
  <c r="P24" i="4"/>
  <c r="P25" i="4" s="1"/>
  <c r="P31" i="4" s="1"/>
  <c r="P41" i="4" s="1"/>
  <c r="O84" i="6" s="1"/>
  <c r="Y71" i="6"/>
  <c r="K71" i="7"/>
  <c r="L71" i="7"/>
  <c r="Q24" i="4"/>
  <c r="Q25" i="4" s="1"/>
  <c r="Q31" i="4" s="1"/>
  <c r="Q41" i="4" s="1"/>
  <c r="P84" i="6" s="1"/>
  <c r="R24" i="4"/>
  <c r="R25" i="4" s="1"/>
  <c r="R31" i="4" s="1"/>
  <c r="R41" i="4" s="1"/>
  <c r="Q84" i="6" s="1"/>
  <c r="E69" i="7"/>
  <c r="G25" i="4"/>
  <c r="L68" i="3" l="1"/>
  <c r="L67" i="3"/>
  <c r="M68" i="3"/>
  <c r="M67" i="3"/>
  <c r="M69" i="3" s="1"/>
  <c r="T24" i="4"/>
  <c r="G31" i="4"/>
  <c r="T25" i="4"/>
  <c r="L89" i="6" l="1"/>
  <c r="L69" i="3"/>
  <c r="G41" i="4"/>
  <c r="T31" i="4"/>
  <c r="K89" i="6" l="1"/>
  <c r="F84" i="6"/>
  <c r="T41" i="4"/>
  <c r="E84" i="6" l="1"/>
  <c r="G98" i="2"/>
  <c r="T98" i="2" s="1"/>
  <c r="F71" i="7"/>
  <c r="G67" i="3" s="1"/>
  <c r="G71" i="7"/>
  <c r="H67" i="3" s="1"/>
  <c r="H71" i="7"/>
  <c r="I68" i="3" s="1"/>
  <c r="I71" i="7"/>
  <c r="J67" i="3" s="1"/>
  <c r="J71" i="7"/>
  <c r="K68" i="3" s="1"/>
  <c r="M71" i="7"/>
  <c r="N67" i="3" s="1"/>
  <c r="N71" i="7"/>
  <c r="O67" i="3" s="1"/>
  <c r="O71" i="7"/>
  <c r="P71" i="7"/>
  <c r="Q67" i="3" s="1"/>
  <c r="Q71" i="7"/>
  <c r="R68" i="3" s="1"/>
  <c r="L84" i="7" l="1"/>
  <c r="K84" i="7"/>
  <c r="P68" i="3"/>
  <c r="Y84" i="6"/>
  <c r="G84" i="7"/>
  <c r="Q84" i="7"/>
  <c r="J84" i="7"/>
  <c r="O84" i="7"/>
  <c r="H84" i="7"/>
  <c r="N84" i="7"/>
  <c r="P84" i="7"/>
  <c r="M84" i="7"/>
  <c r="I84" i="7"/>
  <c r="F84" i="7"/>
  <c r="I67" i="3"/>
  <c r="I69" i="3" s="1"/>
  <c r="O68" i="3"/>
  <c r="O69" i="3" s="1"/>
  <c r="H68" i="3"/>
  <c r="H69" i="3" s="1"/>
  <c r="N68" i="3"/>
  <c r="N69" i="3" s="1"/>
  <c r="M89" i="6" s="1"/>
  <c r="G68" i="3"/>
  <c r="R67" i="3"/>
  <c r="R69" i="3" s="1"/>
  <c r="P67" i="3"/>
  <c r="K67" i="3"/>
  <c r="K69" i="3" s="1"/>
  <c r="Q68" i="3"/>
  <c r="Q69" i="3" s="1"/>
  <c r="E71" i="7"/>
  <c r="J68" i="3"/>
  <c r="J69" i="3" s="1"/>
  <c r="M97" i="3" l="1"/>
  <c r="M96" i="3"/>
  <c r="M178" i="3"/>
  <c r="L178" i="3"/>
  <c r="L97" i="3"/>
  <c r="L96" i="3"/>
  <c r="L73" i="2"/>
  <c r="L65" i="2"/>
  <c r="L72" i="2"/>
  <c r="L64" i="2"/>
  <c r="L147" i="2"/>
  <c r="L71" i="2"/>
  <c r="L63" i="2"/>
  <c r="L66" i="2"/>
  <c r="M72" i="2"/>
  <c r="M64" i="2"/>
  <c r="M65" i="2"/>
  <c r="M147" i="2"/>
  <c r="M71" i="2"/>
  <c r="M66" i="2"/>
  <c r="M73" i="2"/>
  <c r="M63" i="2"/>
  <c r="P69" i="3"/>
  <c r="O89" i="6" s="1"/>
  <c r="I66" i="2"/>
  <c r="I178" i="3"/>
  <c r="I96" i="3"/>
  <c r="I71" i="2"/>
  <c r="I65" i="2"/>
  <c r="I97" i="3"/>
  <c r="I64" i="2"/>
  <c r="I63" i="2"/>
  <c r="I72" i="2"/>
  <c r="I147" i="2"/>
  <c r="I73" i="2"/>
  <c r="P65" i="2"/>
  <c r="P178" i="3"/>
  <c r="P147" i="2"/>
  <c r="P71" i="2"/>
  <c r="P66" i="2"/>
  <c r="P64" i="2"/>
  <c r="P72" i="2"/>
  <c r="P63" i="2"/>
  <c r="P96" i="3"/>
  <c r="P73" i="2"/>
  <c r="P97" i="3"/>
  <c r="G69" i="3"/>
  <c r="T68" i="3"/>
  <c r="K71" i="2"/>
  <c r="K66" i="2"/>
  <c r="K64" i="2"/>
  <c r="K178" i="3"/>
  <c r="K72" i="2"/>
  <c r="K147" i="2"/>
  <c r="K73" i="2"/>
  <c r="K65" i="2"/>
  <c r="K97" i="3"/>
  <c r="K63" i="2"/>
  <c r="K96" i="3"/>
  <c r="G73" i="2"/>
  <c r="G147" i="2"/>
  <c r="E84" i="7"/>
  <c r="G66" i="2"/>
  <c r="G97" i="3"/>
  <c r="G72" i="2"/>
  <c r="G71" i="2"/>
  <c r="G63" i="2"/>
  <c r="G178" i="3"/>
  <c r="G96" i="3"/>
  <c r="G65" i="2"/>
  <c r="G64" i="2"/>
  <c r="R96" i="3"/>
  <c r="R147" i="2"/>
  <c r="R178" i="3"/>
  <c r="R71" i="2"/>
  <c r="R66" i="2"/>
  <c r="R73" i="2"/>
  <c r="R63" i="2"/>
  <c r="R97" i="3"/>
  <c r="R64" i="2"/>
  <c r="R72" i="2"/>
  <c r="R65" i="2"/>
  <c r="J178" i="3"/>
  <c r="J66" i="2"/>
  <c r="J65" i="2"/>
  <c r="J71" i="2"/>
  <c r="J64" i="2"/>
  <c r="J97" i="3"/>
  <c r="J72" i="2"/>
  <c r="J73" i="2"/>
  <c r="J63" i="2"/>
  <c r="J96" i="3"/>
  <c r="J147" i="2"/>
  <c r="H64" i="2"/>
  <c r="H147" i="2"/>
  <c r="H66" i="2"/>
  <c r="H96" i="3"/>
  <c r="H63" i="2"/>
  <c r="H71" i="2"/>
  <c r="H178" i="3"/>
  <c r="H73" i="2"/>
  <c r="H65" i="2"/>
  <c r="H97" i="3"/>
  <c r="H72" i="2"/>
  <c r="O66" i="2"/>
  <c r="O65" i="2"/>
  <c r="O71" i="2"/>
  <c r="O147" i="2"/>
  <c r="O73" i="2"/>
  <c r="O63" i="2"/>
  <c r="O178" i="3"/>
  <c r="O97" i="3"/>
  <c r="O64" i="2"/>
  <c r="O72" i="2"/>
  <c r="O96" i="3"/>
  <c r="N97" i="3"/>
  <c r="N96" i="3"/>
  <c r="N64" i="2"/>
  <c r="N147" i="2"/>
  <c r="N72" i="2"/>
  <c r="N73" i="2"/>
  <c r="N71" i="2"/>
  <c r="N65" i="2"/>
  <c r="N66" i="2"/>
  <c r="N178" i="3"/>
  <c r="N63" i="2"/>
  <c r="Q66" i="2"/>
  <c r="Q63" i="2"/>
  <c r="Q97" i="3"/>
  <c r="Q64" i="2"/>
  <c r="Q178" i="3"/>
  <c r="Q71" i="2"/>
  <c r="Q96" i="3"/>
  <c r="Q65" i="2"/>
  <c r="Q147" i="2"/>
  <c r="Q73" i="2"/>
  <c r="Q72" i="2"/>
  <c r="T67" i="3"/>
  <c r="I89" i="6"/>
  <c r="G89" i="6"/>
  <c r="H89" i="6"/>
  <c r="P89" i="6"/>
  <c r="Q89" i="6"/>
  <c r="N89" i="6"/>
  <c r="J89" i="6"/>
  <c r="M74" i="2" l="1"/>
  <c r="L74" i="2"/>
  <c r="T69" i="3"/>
  <c r="I74" i="2"/>
  <c r="H76" i="6" s="1"/>
  <c r="Q74" i="2"/>
  <c r="P80" i="6" s="1"/>
  <c r="F89" i="6"/>
  <c r="E89" i="6" s="1"/>
  <c r="O74" i="2"/>
  <c r="N76" i="6" s="1"/>
  <c r="T64" i="2"/>
  <c r="T66" i="2"/>
  <c r="N74" i="2"/>
  <c r="R74" i="2"/>
  <c r="T65" i="2"/>
  <c r="T96" i="3"/>
  <c r="T147" i="2"/>
  <c r="T178" i="3"/>
  <c r="T73" i="2"/>
  <c r="T97" i="3"/>
  <c r="J74" i="2"/>
  <c r="T63" i="2"/>
  <c r="G74" i="2"/>
  <c r="P74" i="2"/>
  <c r="H74" i="2"/>
  <c r="T71" i="2"/>
  <c r="K74" i="2"/>
  <c r="T72" i="2"/>
  <c r="K76" i="6" l="1"/>
  <c r="K80" i="6"/>
  <c r="L76" i="6"/>
  <c r="L80" i="6"/>
  <c r="P76" i="6"/>
  <c r="L89" i="7"/>
  <c r="M98" i="3" s="1"/>
  <c r="K89" i="7"/>
  <c r="L98" i="3" s="1"/>
  <c r="H80" i="6"/>
  <c r="P89" i="7"/>
  <c r="H89" i="7"/>
  <c r="I98" i="3" s="1"/>
  <c r="M89" i="7"/>
  <c r="N98" i="3" s="1"/>
  <c r="N89" i="7"/>
  <c r="O98" i="3" s="1"/>
  <c r="N80" i="6"/>
  <c r="O89" i="7"/>
  <c r="I89" i="7"/>
  <c r="J98" i="3" s="1"/>
  <c r="Y89" i="6"/>
  <c r="I76" i="6"/>
  <c r="I80" i="6"/>
  <c r="Q80" i="6"/>
  <c r="Q76" i="6"/>
  <c r="J80" i="6"/>
  <c r="J76" i="6"/>
  <c r="M76" i="6"/>
  <c r="M80" i="6"/>
  <c r="G76" i="6"/>
  <c r="G80" i="6"/>
  <c r="O76" i="6"/>
  <c r="O80" i="6"/>
  <c r="T74" i="2"/>
  <c r="F80" i="6"/>
  <c r="F76" i="6"/>
  <c r="G89" i="7"/>
  <c r="H98" i="3" s="1"/>
  <c r="Q89" i="7"/>
  <c r="F89" i="7"/>
  <c r="J89" i="7"/>
  <c r="K98" i="3" s="1"/>
  <c r="P98" i="3" l="1"/>
  <c r="R98" i="3"/>
  <c r="Q98" i="3"/>
  <c r="E76" i="6"/>
  <c r="E80" i="6"/>
  <c r="G98" i="3"/>
  <c r="E89" i="7"/>
  <c r="G76" i="7" l="1"/>
  <c r="L76" i="7"/>
  <c r="M40" i="5" s="1"/>
  <c r="M54" i="5" s="1"/>
  <c r="M56" i="5" s="1"/>
  <c r="K76" i="7"/>
  <c r="L40" i="5" s="1"/>
  <c r="L54" i="5" s="1"/>
  <c r="L56" i="5" s="1"/>
  <c r="G80" i="7"/>
  <c r="H95" i="3" s="1"/>
  <c r="L80" i="7"/>
  <c r="K80" i="7"/>
  <c r="F76" i="7"/>
  <c r="G15" i="2" s="1"/>
  <c r="F80" i="7"/>
  <c r="G177" i="3" s="1"/>
  <c r="Q80" i="7"/>
  <c r="J76" i="7"/>
  <c r="K125" i="2" s="1"/>
  <c r="I76" i="7"/>
  <c r="J117" i="3" s="1"/>
  <c r="J118" i="3" s="1"/>
  <c r="J120" i="3" s="1"/>
  <c r="Q76" i="7"/>
  <c r="M76" i="7"/>
  <c r="N150" i="3" s="1"/>
  <c r="O76" i="7"/>
  <c r="P40" i="5" s="1"/>
  <c r="P54" i="5" s="1"/>
  <c r="I80" i="7"/>
  <c r="J126" i="2" s="1"/>
  <c r="O80" i="7"/>
  <c r="T98" i="3"/>
  <c r="J40" i="5"/>
  <c r="J54" i="5" s="1"/>
  <c r="J125" i="2"/>
  <c r="Y80" i="6"/>
  <c r="P80" i="7"/>
  <c r="H80" i="7"/>
  <c r="N80" i="7"/>
  <c r="H177" i="3"/>
  <c r="H126" i="2"/>
  <c r="H150" i="3"/>
  <c r="H158" i="3"/>
  <c r="H117" i="3"/>
  <c r="H118" i="3" s="1"/>
  <c r="H120" i="3" s="1"/>
  <c r="H154" i="3"/>
  <c r="H125" i="2"/>
  <c r="H40" i="5"/>
  <c r="H54" i="5" s="1"/>
  <c r="H157" i="2"/>
  <c r="H140" i="2"/>
  <c r="H15" i="2"/>
  <c r="H16" i="2" s="1"/>
  <c r="H76" i="2" s="1"/>
  <c r="H82" i="2"/>
  <c r="H83" i="2" s="1"/>
  <c r="M80" i="7"/>
  <c r="Y76" i="6"/>
  <c r="P76" i="7"/>
  <c r="H76" i="7"/>
  <c r="N76" i="7"/>
  <c r="J80" i="7"/>
  <c r="L126" i="2" l="1"/>
  <c r="L177" i="3"/>
  <c r="L95" i="3"/>
  <c r="M126" i="2"/>
  <c r="M177" i="3"/>
  <c r="M95" i="3"/>
  <c r="L154" i="3"/>
  <c r="L150" i="3"/>
  <c r="L174" i="3" s="1"/>
  <c r="L117" i="3"/>
  <c r="L118" i="3" s="1"/>
  <c r="L120" i="3" s="1"/>
  <c r="L158" i="3"/>
  <c r="M158" i="3"/>
  <c r="M150" i="3"/>
  <c r="M117" i="3"/>
  <c r="M118" i="3" s="1"/>
  <c r="M120" i="3" s="1"/>
  <c r="M154" i="3"/>
  <c r="L140" i="2"/>
  <c r="L82" i="2"/>
  <c r="L83" i="2" s="1"/>
  <c r="L125" i="2"/>
  <c r="L15" i="2"/>
  <c r="L16" i="2" s="1"/>
  <c r="L76" i="2" s="1"/>
  <c r="K75" i="6" s="1"/>
  <c r="L157" i="2"/>
  <c r="M157" i="2"/>
  <c r="M82" i="2"/>
  <c r="M83" i="2" s="1"/>
  <c r="M15" i="2"/>
  <c r="M16" i="2" s="1"/>
  <c r="M76" i="2" s="1"/>
  <c r="L75" i="6" s="1"/>
  <c r="M140" i="2"/>
  <c r="M125" i="2"/>
  <c r="M127" i="2" s="1"/>
  <c r="G95" i="3"/>
  <c r="G126" i="2"/>
  <c r="R177" i="3"/>
  <c r="J157" i="2"/>
  <c r="R40" i="5"/>
  <c r="R54" i="5" s="1"/>
  <c r="R56" i="5" s="1"/>
  <c r="P177" i="3"/>
  <c r="G158" i="3"/>
  <c r="J140" i="2"/>
  <c r="J158" i="2" s="1"/>
  <c r="J32" i="1" s="1"/>
  <c r="J154" i="3"/>
  <c r="G125" i="2"/>
  <c r="J95" i="3"/>
  <c r="K157" i="2"/>
  <c r="G150" i="3"/>
  <c r="J150" i="3"/>
  <c r="J158" i="3"/>
  <c r="N40" i="5"/>
  <c r="N54" i="5" s="1"/>
  <c r="N10" i="1" s="1"/>
  <c r="N158" i="3"/>
  <c r="J82" i="2"/>
  <c r="J83" i="2" s="1"/>
  <c r="K150" i="3"/>
  <c r="K158" i="3"/>
  <c r="N140" i="2"/>
  <c r="N15" i="2"/>
  <c r="N16" i="2" s="1"/>
  <c r="N76" i="2" s="1"/>
  <c r="N27" i="1" s="1"/>
  <c r="K140" i="2"/>
  <c r="N117" i="3"/>
  <c r="N118" i="3" s="1"/>
  <c r="N120" i="3" s="1"/>
  <c r="N157" i="2"/>
  <c r="K154" i="3"/>
  <c r="N125" i="2"/>
  <c r="P157" i="2"/>
  <c r="N82" i="2"/>
  <c r="N83" i="2" s="1"/>
  <c r="K82" i="2"/>
  <c r="K83" i="2" s="1"/>
  <c r="N154" i="3"/>
  <c r="K40" i="5"/>
  <c r="K54" i="5" s="1"/>
  <c r="K10" i="1" s="1"/>
  <c r="K15" i="2"/>
  <c r="K16" i="2" s="1"/>
  <c r="K76" i="2" s="1"/>
  <c r="K27" i="1" s="1"/>
  <c r="J15" i="2"/>
  <c r="J16" i="2" s="1"/>
  <c r="J76" i="2" s="1"/>
  <c r="I75" i="6" s="1"/>
  <c r="K117" i="3"/>
  <c r="K118" i="3" s="1"/>
  <c r="K120" i="3" s="1"/>
  <c r="R117" i="3"/>
  <c r="R118" i="3" s="1"/>
  <c r="R120" i="3" s="1"/>
  <c r="R158" i="3"/>
  <c r="P82" i="2"/>
  <c r="P83" i="2" s="1"/>
  <c r="P158" i="3"/>
  <c r="P140" i="2"/>
  <c r="R150" i="3"/>
  <c r="G82" i="2"/>
  <c r="G83" i="2" s="1"/>
  <c r="P117" i="3"/>
  <c r="P118" i="3" s="1"/>
  <c r="P120" i="3" s="1"/>
  <c r="G154" i="3"/>
  <c r="P150" i="3"/>
  <c r="G40" i="5"/>
  <c r="G54" i="5" s="1"/>
  <c r="G157" i="2"/>
  <c r="P125" i="2"/>
  <c r="G117" i="3"/>
  <c r="G118" i="3" s="1"/>
  <c r="G140" i="2"/>
  <c r="P15" i="2"/>
  <c r="P16" i="2" s="1"/>
  <c r="P76" i="2" s="1"/>
  <c r="P27" i="1" s="1"/>
  <c r="R95" i="3"/>
  <c r="P154" i="3"/>
  <c r="R82" i="2"/>
  <c r="R83" i="2" s="1"/>
  <c r="R157" i="2"/>
  <c r="R154" i="3"/>
  <c r="R15" i="2"/>
  <c r="R16" i="2" s="1"/>
  <c r="R76" i="2" s="1"/>
  <c r="R27" i="1" s="1"/>
  <c r="J177" i="3"/>
  <c r="R126" i="2"/>
  <c r="R125" i="2"/>
  <c r="R140" i="2"/>
  <c r="E76" i="7"/>
  <c r="J127" i="2"/>
  <c r="E80" i="7"/>
  <c r="P126" i="2"/>
  <c r="P95" i="3"/>
  <c r="H127" i="2"/>
  <c r="H129" i="2" s="1"/>
  <c r="H28" i="1" s="1"/>
  <c r="N126" i="2"/>
  <c r="N95" i="3"/>
  <c r="N177" i="3"/>
  <c r="R10" i="1"/>
  <c r="J56" i="5"/>
  <c r="J10" i="1"/>
  <c r="G127" i="2"/>
  <c r="G75" i="6"/>
  <c r="H27" i="1"/>
  <c r="H174" i="3"/>
  <c r="H14" i="1" s="1"/>
  <c r="Q177" i="3"/>
  <c r="Q126" i="2"/>
  <c r="Q95" i="3"/>
  <c r="K177" i="3"/>
  <c r="K95" i="3"/>
  <c r="K126" i="2"/>
  <c r="K127" i="2" s="1"/>
  <c r="H158" i="2"/>
  <c r="H32" i="1" s="1"/>
  <c r="O125" i="2"/>
  <c r="O157" i="2"/>
  <c r="O15" i="2"/>
  <c r="O16" i="2" s="1"/>
  <c r="O76" i="2" s="1"/>
  <c r="O40" i="5"/>
  <c r="O54" i="5" s="1"/>
  <c r="O150" i="3"/>
  <c r="O117" i="3"/>
  <c r="O118" i="3" s="1"/>
  <c r="O120" i="3" s="1"/>
  <c r="O82" i="2"/>
  <c r="O83" i="2" s="1"/>
  <c r="O158" i="3"/>
  <c r="O154" i="3"/>
  <c r="O140" i="2"/>
  <c r="O158" i="2" s="1"/>
  <c r="O32" i="1" s="1"/>
  <c r="I40" i="5"/>
  <c r="I54" i="5" s="1"/>
  <c r="I158" i="3"/>
  <c r="I157" i="2"/>
  <c r="I154" i="3"/>
  <c r="I15" i="2"/>
  <c r="I16" i="2" s="1"/>
  <c r="I76" i="2" s="1"/>
  <c r="I140" i="2"/>
  <c r="I125" i="2"/>
  <c r="I150" i="3"/>
  <c r="I117" i="3"/>
  <c r="I118" i="3" s="1"/>
  <c r="I120" i="3" s="1"/>
  <c r="I82" i="2"/>
  <c r="I83" i="2" s="1"/>
  <c r="G16" i="2"/>
  <c r="P56" i="5"/>
  <c r="P10" i="1"/>
  <c r="H10" i="1"/>
  <c r="H56" i="5"/>
  <c r="O95" i="3"/>
  <c r="O126" i="2"/>
  <c r="O177" i="3"/>
  <c r="Q140" i="2"/>
  <c r="Q15" i="2"/>
  <c r="Q16" i="2" s="1"/>
  <c r="Q76" i="2" s="1"/>
  <c r="Q82" i="2"/>
  <c r="Q83" i="2" s="1"/>
  <c r="Q117" i="3"/>
  <c r="Q118" i="3" s="1"/>
  <c r="Q120" i="3" s="1"/>
  <c r="Q125" i="2"/>
  <c r="Q154" i="3"/>
  <c r="Q150" i="3"/>
  <c r="Q157" i="2"/>
  <c r="Q40" i="5"/>
  <c r="Q54" i="5" s="1"/>
  <c r="Q158" i="3"/>
  <c r="I177" i="3"/>
  <c r="I95" i="3"/>
  <c r="I126" i="2"/>
  <c r="N56" i="5" l="1"/>
  <c r="L127" i="2"/>
  <c r="L129" i="2" s="1"/>
  <c r="M129" i="2"/>
  <c r="M174" i="3"/>
  <c r="M158" i="2"/>
  <c r="L158" i="2"/>
  <c r="J129" i="2"/>
  <c r="J28" i="1" s="1"/>
  <c r="P158" i="2"/>
  <c r="P32" i="1" s="1"/>
  <c r="K158" i="2"/>
  <c r="K32" i="1" s="1"/>
  <c r="J174" i="3"/>
  <c r="J14" i="1" s="1"/>
  <c r="N127" i="2"/>
  <c r="N129" i="2" s="1"/>
  <c r="N28" i="1" s="1"/>
  <c r="N29" i="1" s="1"/>
  <c r="G174" i="3"/>
  <c r="G14" i="1" s="1"/>
  <c r="K174" i="3"/>
  <c r="K14" i="1" s="1"/>
  <c r="N158" i="2"/>
  <c r="N32" i="1" s="1"/>
  <c r="N174" i="3"/>
  <c r="N14" i="1" s="1"/>
  <c r="Q75" i="6"/>
  <c r="P127" i="2"/>
  <c r="P129" i="2" s="1"/>
  <c r="P28" i="1" s="1"/>
  <c r="P29" i="1" s="1"/>
  <c r="G158" i="2"/>
  <c r="G32" i="1" s="1"/>
  <c r="Q158" i="2"/>
  <c r="Q32" i="1" s="1"/>
  <c r="K56" i="5"/>
  <c r="M75" i="6"/>
  <c r="R174" i="3"/>
  <c r="R14" i="1" s="1"/>
  <c r="K129" i="2"/>
  <c r="K28" i="1" s="1"/>
  <c r="K29" i="1" s="1"/>
  <c r="J75" i="6"/>
  <c r="J27" i="1"/>
  <c r="P174" i="3"/>
  <c r="P14" i="1" s="1"/>
  <c r="R127" i="2"/>
  <c r="R129" i="2" s="1"/>
  <c r="R28" i="1" s="1"/>
  <c r="R29" i="1" s="1"/>
  <c r="O75" i="6"/>
  <c r="R158" i="2"/>
  <c r="R32" i="1" s="1"/>
  <c r="H11" i="1"/>
  <c r="H54" i="1"/>
  <c r="K11" i="1"/>
  <c r="K54" i="1"/>
  <c r="P11" i="1"/>
  <c r="P54" i="1"/>
  <c r="R11" i="1"/>
  <c r="R54" i="1"/>
  <c r="J11" i="1"/>
  <c r="J54" i="1"/>
  <c r="N11" i="1"/>
  <c r="N54" i="1"/>
  <c r="O127" i="2"/>
  <c r="O129" i="2" s="1"/>
  <c r="O28" i="1" s="1"/>
  <c r="Q127" i="2"/>
  <c r="Q129" i="2" s="1"/>
  <c r="Q28" i="1" s="1"/>
  <c r="T158" i="3"/>
  <c r="I158" i="2"/>
  <c r="I32" i="1" s="1"/>
  <c r="T177" i="3"/>
  <c r="T125" i="2"/>
  <c r="Q174" i="3"/>
  <c r="Q14" i="1" s="1"/>
  <c r="O174" i="3"/>
  <c r="O14" i="1" s="1"/>
  <c r="T126" i="2"/>
  <c r="T15" i="2"/>
  <c r="T154" i="3"/>
  <c r="T157" i="2"/>
  <c r="H29" i="1"/>
  <c r="H75" i="6"/>
  <c r="I27" i="1"/>
  <c r="G76" i="2"/>
  <c r="T16" i="2"/>
  <c r="O10" i="1"/>
  <c r="O56" i="5"/>
  <c r="T54" i="5"/>
  <c r="G56" i="5"/>
  <c r="G10" i="1"/>
  <c r="T82" i="2"/>
  <c r="N75" i="6"/>
  <c r="O27" i="1"/>
  <c r="T40" i="5"/>
  <c r="T83" i="2"/>
  <c r="G129" i="2"/>
  <c r="T150" i="3"/>
  <c r="P75" i="6"/>
  <c r="Q27" i="1"/>
  <c r="I10" i="1"/>
  <c r="I56" i="5"/>
  <c r="T140" i="2"/>
  <c r="Q56" i="5"/>
  <c r="Q10" i="1"/>
  <c r="I174" i="3"/>
  <c r="I14" i="1" s="1"/>
  <c r="T117" i="3"/>
  <c r="I127" i="2"/>
  <c r="I129" i="2" s="1"/>
  <c r="I28" i="1" s="1"/>
  <c r="G120" i="3"/>
  <c r="T120" i="3" s="1"/>
  <c r="T118" i="3"/>
  <c r="T95" i="3"/>
  <c r="J29" i="1" l="1"/>
  <c r="F32" i="1"/>
  <c r="T32" i="1" s="1"/>
  <c r="T158" i="2"/>
  <c r="G11" i="1"/>
  <c r="F10" i="1"/>
  <c r="G54" i="1"/>
  <c r="Q11" i="1"/>
  <c r="Q54" i="1"/>
  <c r="F14" i="1"/>
  <c r="T14" i="1" s="1"/>
  <c r="I11" i="1"/>
  <c r="I54" i="1"/>
  <c r="O11" i="1"/>
  <c r="O54" i="1"/>
  <c r="O29" i="1"/>
  <c r="T174" i="3"/>
  <c r="Q29" i="1"/>
  <c r="T127" i="2"/>
  <c r="T56" i="5"/>
  <c r="I29" i="1"/>
  <c r="G28" i="1"/>
  <c r="F28" i="1" s="1"/>
  <c r="T28" i="1" s="1"/>
  <c r="T129" i="2"/>
  <c r="T76" i="2"/>
  <c r="F75" i="6"/>
  <c r="G27" i="1"/>
  <c r="F27" i="1" s="1"/>
  <c r="T10" i="1" l="1"/>
  <c r="F11" i="1"/>
  <c r="T11" i="1" s="1"/>
  <c r="F54" i="1"/>
  <c r="T54" i="1" s="1"/>
  <c r="T27" i="1"/>
  <c r="F29" i="1"/>
  <c r="G29" i="1"/>
  <c r="E75" i="6"/>
  <c r="F75" i="7" l="1"/>
  <c r="G133" i="2" s="1"/>
  <c r="L75" i="7"/>
  <c r="M133" i="2" s="1"/>
  <c r="M134" i="2" s="1"/>
  <c r="M160" i="2" s="1"/>
  <c r="M162" i="2" s="1"/>
  <c r="L82" i="6" s="1"/>
  <c r="K75" i="7"/>
  <c r="L133" i="2" s="1"/>
  <c r="L134" i="2" s="1"/>
  <c r="L160" i="2" s="1"/>
  <c r="L162" i="2" s="1"/>
  <c r="K82" i="6" s="1"/>
  <c r="T29" i="1"/>
  <c r="Y75" i="6"/>
  <c r="I75" i="7"/>
  <c r="J133" i="2" s="1"/>
  <c r="J134" i="2" s="1"/>
  <c r="M75" i="7"/>
  <c r="N133" i="2" s="1"/>
  <c r="N134" i="2" s="1"/>
  <c r="Q75" i="7"/>
  <c r="J75" i="7"/>
  <c r="K133" i="2" s="1"/>
  <c r="K134" i="2" s="1"/>
  <c r="G75" i="7"/>
  <c r="H133" i="2" s="1"/>
  <c r="H134" i="2" s="1"/>
  <c r="O75" i="7"/>
  <c r="H75" i="7"/>
  <c r="I133" i="2" s="1"/>
  <c r="I134" i="2" s="1"/>
  <c r="P75" i="7"/>
  <c r="N75" i="7"/>
  <c r="O133" i="2" s="1"/>
  <c r="O134" i="2" s="1"/>
  <c r="P133" i="2" l="1"/>
  <c r="P134" i="2" s="1"/>
  <c r="P31" i="1" s="1"/>
  <c r="P34" i="1" s="1"/>
  <c r="P42" i="1" s="1"/>
  <c r="R133" i="2"/>
  <c r="R134" i="2" s="1"/>
  <c r="R31" i="1" s="1"/>
  <c r="R34" i="1" s="1"/>
  <c r="R42" i="1" s="1"/>
  <c r="Q133" i="2"/>
  <c r="Q134" i="2" s="1"/>
  <c r="K31" i="1"/>
  <c r="K34" i="1" s="1"/>
  <c r="K42" i="1" s="1"/>
  <c r="K160" i="2"/>
  <c r="K162" i="2" s="1"/>
  <c r="H31" i="1"/>
  <c r="H34" i="1" s="1"/>
  <c r="H42" i="1" s="1"/>
  <c r="H160" i="2"/>
  <c r="H162" i="2" s="1"/>
  <c r="N160" i="2"/>
  <c r="N162" i="2" s="1"/>
  <c r="N31" i="1"/>
  <c r="N34" i="1" s="1"/>
  <c r="N42" i="1" s="1"/>
  <c r="J31" i="1"/>
  <c r="J34" i="1" s="1"/>
  <c r="J42" i="1" s="1"/>
  <c r="J160" i="2"/>
  <c r="J162" i="2" s="1"/>
  <c r="O160" i="2"/>
  <c r="O162" i="2" s="1"/>
  <c r="O31" i="1"/>
  <c r="O34" i="1" s="1"/>
  <c r="O42" i="1" s="1"/>
  <c r="Q31" i="1"/>
  <c r="Q34" i="1" s="1"/>
  <c r="Q42" i="1" s="1"/>
  <c r="Q160" i="2"/>
  <c r="Q162" i="2" s="1"/>
  <c r="I31" i="1"/>
  <c r="I34" i="1" s="1"/>
  <c r="I42" i="1" s="1"/>
  <c r="I160" i="2"/>
  <c r="I162" i="2" s="1"/>
  <c r="E75" i="7"/>
  <c r="G134" i="2"/>
  <c r="P160" i="2" l="1"/>
  <c r="P162" i="2" s="1"/>
  <c r="O82" i="6" s="1"/>
  <c r="T133" i="2"/>
  <c r="R160" i="2"/>
  <c r="R162" i="2" s="1"/>
  <c r="Q82" i="6" s="1"/>
  <c r="M82" i="6"/>
  <c r="G82" i="6"/>
  <c r="H165" i="2"/>
  <c r="H82" i="6"/>
  <c r="I165" i="2"/>
  <c r="P82" i="6"/>
  <c r="T134" i="2"/>
  <c r="G31" i="1"/>
  <c r="G160" i="2"/>
  <c r="N82" i="6"/>
  <c r="I82" i="6"/>
  <c r="J82" i="6"/>
  <c r="G34" i="1" l="1"/>
  <c r="G42" i="1" s="1"/>
  <c r="F31" i="1"/>
  <c r="G162" i="2"/>
  <c r="T160" i="2"/>
  <c r="T165" i="2"/>
  <c r="T31" i="1" l="1"/>
  <c r="F34" i="1"/>
  <c r="T162" i="2"/>
  <c r="F82" i="6"/>
  <c r="E82" i="6" s="1"/>
  <c r="L82" i="7" l="1"/>
  <c r="K82" i="7"/>
  <c r="F42" i="1"/>
  <c r="T42" i="1" s="1"/>
  <c r="T34" i="1"/>
  <c r="F82" i="7"/>
  <c r="Y82" i="6"/>
  <c r="P82" i="7"/>
  <c r="J82" i="7"/>
  <c r="O82" i="7"/>
  <c r="M82" i="7"/>
  <c r="Q82" i="7"/>
  <c r="N82" i="7"/>
  <c r="I82" i="7"/>
  <c r="G82" i="7"/>
  <c r="H82" i="7"/>
  <c r="L186" i="3" l="1"/>
  <c r="L185" i="3"/>
  <c r="M185" i="3"/>
  <c r="M186" i="3"/>
  <c r="K185" i="3"/>
  <c r="K186" i="3"/>
  <c r="I185" i="3"/>
  <c r="I186" i="3"/>
  <c r="Q186" i="3"/>
  <c r="Q185" i="3"/>
  <c r="H186" i="3"/>
  <c r="H185" i="3"/>
  <c r="J186" i="3"/>
  <c r="J185" i="3"/>
  <c r="G186" i="3"/>
  <c r="G185" i="3"/>
  <c r="E82" i="7"/>
  <c r="O186" i="3"/>
  <c r="O185" i="3"/>
  <c r="R186" i="3"/>
  <c r="R185" i="3"/>
  <c r="N185" i="3"/>
  <c r="N186" i="3"/>
  <c r="P185" i="3"/>
  <c r="P186" i="3"/>
  <c r="L187" i="3" l="1"/>
  <c r="M187" i="3"/>
  <c r="J187" i="3"/>
  <c r="J22" i="1" s="1"/>
  <c r="P187" i="3"/>
  <c r="P22" i="1" s="1"/>
  <c r="Q187" i="3"/>
  <c r="Q22" i="1" s="1"/>
  <c r="K187" i="3"/>
  <c r="K22" i="1" s="1"/>
  <c r="H187" i="3"/>
  <c r="H22" i="1" s="1"/>
  <c r="T185" i="3"/>
  <c r="G187" i="3"/>
  <c r="T186" i="3"/>
  <c r="N187" i="3"/>
  <c r="N22" i="1" s="1"/>
  <c r="R187" i="3"/>
  <c r="R22" i="1" s="1"/>
  <c r="I187" i="3"/>
  <c r="I22" i="1" s="1"/>
  <c r="O187" i="3"/>
  <c r="O22" i="1" s="1"/>
  <c r="G22" i="1" l="1"/>
  <c r="F22" i="1" s="1"/>
  <c r="T22" i="1" s="1"/>
  <c r="T187" i="3"/>
  <c r="G46" i="1" l="1"/>
  <c r="H46" i="1"/>
  <c r="I46" i="1"/>
  <c r="J46" i="1"/>
  <c r="K46" i="1"/>
  <c r="N46" i="1"/>
  <c r="O46" i="1"/>
  <c r="P46" i="1"/>
  <c r="Q46" i="1"/>
  <c r="T46" i="1" s="1"/>
  <c r="R46" i="1"/>
  <c r="G47" i="1"/>
  <c r="T47" i="1" s="1"/>
  <c r="H47" i="1"/>
  <c r="I47" i="1"/>
  <c r="J47" i="1"/>
  <c r="K47" i="1"/>
  <c r="N47" i="1"/>
  <c r="O47" i="1"/>
  <c r="P47" i="1"/>
  <c r="Q47" i="1"/>
  <c r="R47" i="1"/>
  <c r="G49" i="1"/>
  <c r="H49" i="1"/>
  <c r="I49" i="1"/>
  <c r="J49" i="1"/>
  <c r="K49" i="1"/>
  <c r="N49" i="1"/>
  <c r="O49" i="1"/>
  <c r="P49" i="1"/>
  <c r="Q49" i="1"/>
  <c r="T49" i="1" s="1"/>
  <c r="R49" i="1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Y68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Y83" i="6"/>
  <c r="F87" i="6"/>
  <c r="G87" i="6"/>
  <c r="H87" i="6"/>
  <c r="I87" i="6"/>
  <c r="J87" i="6"/>
  <c r="K87" i="6"/>
  <c r="L87" i="6"/>
  <c r="M87" i="6"/>
  <c r="N87" i="6"/>
  <c r="O87" i="6"/>
  <c r="P87" i="6"/>
  <c r="Q87" i="6"/>
  <c r="Y87" i="6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G87" i="3"/>
  <c r="H87" i="3"/>
  <c r="I87" i="3"/>
  <c r="J87" i="3"/>
  <c r="K87" i="3"/>
  <c r="L87" i="3"/>
  <c r="M87" i="3"/>
  <c r="N87" i="3"/>
  <c r="O87" i="3"/>
  <c r="P87" i="3"/>
  <c r="Q87" i="3"/>
  <c r="R87" i="3"/>
  <c r="T87" i="3"/>
  <c r="G88" i="3"/>
  <c r="H88" i="3"/>
  <c r="I88" i="3"/>
  <c r="J88" i="3"/>
  <c r="K88" i="3"/>
  <c r="L88" i="3"/>
  <c r="M88" i="3"/>
  <c r="N88" i="3"/>
  <c r="O88" i="3"/>
  <c r="P88" i="3"/>
  <c r="Q88" i="3"/>
  <c r="R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G92" i="3"/>
  <c r="H92" i="3"/>
  <c r="I92" i="3"/>
  <c r="J92" i="3"/>
  <c r="K92" i="3"/>
  <c r="L92" i="3"/>
  <c r="M92" i="3"/>
  <c r="N92" i="3"/>
  <c r="O92" i="3"/>
  <c r="P92" i="3"/>
  <c r="Q92" i="3"/>
  <c r="R92" i="3"/>
  <c r="T92" i="3"/>
  <c r="G93" i="3"/>
  <c r="H93" i="3"/>
  <c r="I93" i="3"/>
  <c r="J93" i="3"/>
  <c r="K93" i="3"/>
  <c r="L93" i="3"/>
  <c r="M93" i="3"/>
  <c r="N93" i="3"/>
  <c r="O93" i="3"/>
  <c r="P93" i="3"/>
  <c r="Q93" i="3"/>
  <c r="R93" i="3"/>
  <c r="T93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G99" i="3"/>
  <c r="H99" i="3"/>
  <c r="I99" i="3"/>
  <c r="J99" i="3"/>
  <c r="K99" i="3"/>
  <c r="L99" i="3"/>
  <c r="M99" i="3"/>
  <c r="N99" i="3"/>
  <c r="O99" i="3"/>
  <c r="P99" i="3"/>
  <c r="Q99" i="3"/>
  <c r="R99" i="3"/>
  <c r="T99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T101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T103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T122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T179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T182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T189" i="3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T13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T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T16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T18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T24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T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T37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T43" i="1"/>
  <c r="G48" i="1"/>
  <c r="H48" i="1"/>
  <c r="I48" i="1"/>
  <c r="J48" i="1"/>
  <c r="K48" i="1"/>
  <c r="L48" i="1"/>
  <c r="M48" i="1"/>
  <c r="N48" i="1"/>
  <c r="O48" i="1"/>
  <c r="P48" i="1"/>
  <c r="Q48" i="1"/>
  <c r="R48" i="1"/>
  <c r="T48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T51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T53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T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T56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T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T60" i="1"/>
</calcChain>
</file>

<file path=xl/sharedStrings.xml><?xml version="1.0" encoding="utf-8"?>
<sst xmlns="http://schemas.openxmlformats.org/spreadsheetml/2006/main" count="908" uniqueCount="582">
  <si>
    <t>Description</t>
  </si>
  <si>
    <t>Total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</si>
  <si>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</si>
  <si>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</si>
  <si>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</si>
  <si>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</si>
  <si>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</si>
  <si>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</si>
  <si>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</si>
  <si>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</si>
  <si>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</si>
  <si>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</si>
  <si>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</si>
  <si>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</si>
  <si>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~</t>
  </si>
  <si>
    <t>CUSTOMER EXTERNAL ALLOCATORS</t>
  </si>
  <si>
    <t>CUST_1</t>
  </si>
  <si>
    <t>Ave. No. Cust.</t>
  </si>
  <si>
    <t/>
  </si>
  <si>
    <t>CUST_2</t>
  </si>
  <si>
    <t>Ave. No. Cust Incl. RES &amp; SEC Only, No Sch 40</t>
  </si>
  <si>
    <t>CUST_3</t>
  </si>
  <si>
    <t>Wtd. Ave. No. Cust. A/C 903 Customer Records Direct Assignment [NEEDS PROFORMA ADJUSTMENT]</t>
  </si>
  <si>
    <t>CUST_4</t>
  </si>
  <si>
    <t>Meter Counts. A/C 902</t>
  </si>
  <si>
    <t>DIR_SC</t>
  </si>
  <si>
    <t>Direct Assignment Special Contract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</si>
  <si>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</si>
  <si>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</si>
  <si>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</si>
  <si>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</si>
  <si>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</si>
  <si>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</si>
  <si>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</si>
  <si>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Customer Deposits</t>
  </si>
  <si>
    <t>DIR252.00</t>
  </si>
  <si>
    <t>Customer Advances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</si>
  <si>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</si>
  <si>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</si>
  <si>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</si>
  <si>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</si>
  <si>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</si>
  <si>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</si>
  <si>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</si>
  <si>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</si>
  <si>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</si>
  <si>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</si>
  <si>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</si>
  <si>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</si>
  <si>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</si>
  <si>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</si>
  <si>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</si>
  <si>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</si>
  <si>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</si>
  <si>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</si>
  <si>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</si>
  <si>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</si>
  <si>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</si>
  <si>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</si>
  <si>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</si>
  <si>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 Revenue</t>
  </si>
  <si>
    <t>PROFORMA_RETAIL</t>
  </si>
  <si>
    <t>Proforma Retail Revenue - No Transportation &amp; Special Contract</t>
  </si>
  <si>
    <t>RESID</t>
  </si>
  <si>
    <t>Residential Allocation Only</t>
  </si>
  <si>
    <t>UG_TFMRC</t>
  </si>
  <si>
    <t>Allocate Underground Transformers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</si>
  <si>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</si>
  <si>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</si>
  <si>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</si>
  <si>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</si>
  <si>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</si>
  <si>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</si>
  <si>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</si>
  <si>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</si>
  <si>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DEM_2B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</si>
  <si>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</si>
  <si>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</si>
  <si>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</si>
  <si>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</si>
  <si>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</si>
  <si>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</si>
  <si>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</si>
  <si>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</si>
  <si>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</si>
  <si>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</si>
  <si>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</si>
  <si>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</si>
  <si>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</si>
  <si>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</si>
  <si>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</si>
  <si>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</si>
  <si>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</si>
  <si>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</si>
  <si>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</si>
  <si>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</si>
  <si>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</si>
  <si>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</si>
  <si>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</si>
  <si>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</si>
  <si>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</si>
  <si>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</si>
  <si>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</si>
  <si>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</si>
  <si>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</si>
  <si>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</si>
  <si>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</si>
  <si>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</si>
  <si>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</si>
  <si>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</si>
  <si>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</si>
  <si>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</si>
  <si>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BPAX</t>
  </si>
  <si>
    <t>BPA Residential Exchange kWh</t>
  </si>
  <si>
    <t>ENERGY_1</t>
  </si>
  <si>
    <t>Annual kWhs</t>
  </si>
  <si>
    <t>ENERGY_2</t>
  </si>
  <si>
    <t>Energy - NO RETAIL WHEELING</t>
  </si>
  <si>
    <t>Memo: Combined</t>
  </si>
  <si>
    <t>PSE Name</t>
  </si>
  <si>
    <t>TAI Number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</si>
  <si>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</si>
  <si>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</si>
  <si>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</si>
  <si>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</si>
  <si>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</si>
  <si>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</si>
  <si>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</si>
  <si>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</si>
  <si>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</si>
  <si>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</si>
  <si>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</si>
  <si>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</si>
  <si>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</si>
  <si>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</si>
  <si>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</si>
  <si>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</si>
  <si>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</si>
  <si>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</si>
  <si>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</si>
  <si>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</si>
  <si>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</si>
  <si>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</si>
  <si>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</si>
  <si>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</si>
  <si>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</si>
  <si>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</si>
  <si>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</si>
  <si>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</si>
  <si>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</si>
  <si>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</si>
  <si>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</si>
  <si>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</si>
  <si>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</si>
  <si>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</si>
  <si>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</si>
  <si>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</si>
  <si>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</si>
  <si>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</si>
  <si>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</si>
  <si>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</si>
  <si>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</si>
  <si>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</si>
  <si>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</si>
  <si>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</si>
  <si>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</si>
  <si>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</si>
  <si>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</si>
  <si>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</si>
  <si>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</si>
  <si>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</si>
  <si>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</si>
  <si>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</si>
  <si>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</si>
  <si>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</si>
  <si>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</si>
  <si>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</si>
  <si>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</si>
  <si>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</si>
  <si>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</si>
  <si>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Account Description</t>
  </si>
  <si>
    <t>Allocation Method</t>
  </si>
  <si>
    <t>RATE BASE</t>
  </si>
  <si>
    <t>Plant-in-Service</t>
  </si>
  <si>
    <t>Intangible Plant</t>
  </si>
  <si>
    <t>Generation/Transmission</t>
  </si>
  <si>
    <t>PC4</t>
  </si>
  <si>
    <t>Distribution</t>
  </si>
  <si>
    <t>Other</t>
  </si>
  <si>
    <t>Sub-total</t>
  </si>
  <si>
    <t>Production Plant</t>
  </si>
  <si>
    <t>Transmission Plant</t>
  </si>
  <si>
    <t>Washington Transmission Plant</t>
  </si>
  <si>
    <t>PC3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</si>
  <si>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</si>
  <si>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</si>
  <si>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</si>
  <si>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</si>
  <si>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</si>
  <si>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</si>
  <si>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</si>
  <si>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</si>
  <si>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</si>
  <si>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</si>
  <si>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</si>
  <si>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</si>
  <si>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</si>
  <si>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</si>
  <si>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</si>
  <si>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</si>
  <si>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</si>
  <si>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</si>
  <si>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</si>
  <si>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</si>
  <si>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</si>
  <si>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</si>
  <si>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</si>
  <si>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</si>
  <si>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</si>
  <si>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</si>
  <si>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</si>
  <si>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</si>
  <si>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</si>
  <si>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General Plant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</si>
  <si>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</si>
  <si>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</si>
  <si>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</si>
  <si>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</si>
  <si>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</si>
  <si>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</si>
  <si>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</si>
  <si>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</si>
  <si>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</si>
  <si>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</si>
  <si>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</si>
  <si>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</si>
  <si>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</si>
  <si>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</si>
  <si>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</si>
  <si>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</si>
  <si>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</si>
  <si>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</si>
  <si>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</si>
  <si>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</si>
  <si>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</si>
  <si>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</si>
  <si>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</si>
  <si>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</si>
  <si>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</si>
  <si>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</si>
  <si>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</si>
  <si>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</si>
  <si>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</si>
  <si>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</si>
  <si>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</si>
  <si>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</si>
  <si>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</si>
  <si>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</si>
  <si>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</si>
  <si>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</si>
  <si>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</si>
  <si>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</si>
  <si>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</si>
  <si>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</si>
  <si>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</si>
  <si>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</si>
  <si>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</si>
  <si>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</si>
  <si>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</si>
  <si>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</si>
  <si>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</si>
  <si>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</si>
  <si>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</si>
  <si>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</si>
  <si>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</si>
  <si>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</si>
  <si>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</si>
  <si>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</si>
  <si>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</si>
  <si>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</si>
  <si>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</si>
  <si>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</si>
  <si>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</si>
  <si>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</si>
  <si>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</si>
  <si>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</si>
  <si>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</si>
  <si>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</si>
  <si>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</si>
  <si>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</si>
  <si>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</si>
  <si>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</si>
  <si>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</si>
  <si>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</si>
  <si>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</si>
  <si>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</si>
  <si>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</si>
  <si>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</si>
  <si>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</si>
  <si>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 - Transmission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</si>
  <si>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</si>
  <si>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</si>
  <si>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</si>
  <si>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</si>
  <si>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</si>
  <si>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</si>
  <si>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</si>
  <si>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</si>
  <si>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</si>
  <si>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</si>
  <si>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</si>
  <si>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</si>
  <si>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</si>
  <si>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Residential
Sch 7</t>
  </si>
  <si>
    <t>Sec Volt
Sch 24
(kW&lt; 50)</t>
  </si>
  <si>
    <t>Sec Volt
Sch 25
(kW &gt; 50 &amp; &lt; 350)</t>
  </si>
  <si>
    <t>Sec Volt
Sch 26
(kW &gt; 350)</t>
  </si>
  <si>
    <t>High Volt
Sch 46/49</t>
  </si>
  <si>
    <t>Choice /
Retail Wheeling
Sch 448/449</t>
  </si>
  <si>
    <t>Lighting
Sch 50-59</t>
  </si>
  <si>
    <t>TAI</t>
  </si>
  <si>
    <t>Number</t>
  </si>
  <si>
    <t>Demand</t>
  </si>
  <si>
    <t>Energy</t>
  </si>
  <si>
    <t>dir</t>
  </si>
  <si>
    <t>TOTAL OPERATING EXPENSES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</si>
  <si>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</si>
  <si>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</si>
  <si>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</si>
  <si>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</si>
  <si>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</si>
  <si>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</si>
  <si>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</si>
  <si>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</si>
  <si>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</si>
  <si>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</si>
  <si>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</si>
  <si>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Wheeling by Others - Wheeling</t>
  </si>
  <si>
    <t>Production - O&amp;M - Other</t>
  </si>
  <si>
    <t>Transmission  - O&amp;M</t>
  </si>
  <si>
    <t>Transmission O&amp;M - Washington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</si>
  <si>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</si>
  <si>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</si>
  <si>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</si>
  <si>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</si>
  <si>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</si>
  <si>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</si>
  <si>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</si>
  <si>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</si>
  <si>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</si>
  <si>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</si>
  <si>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</si>
  <si>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</si>
  <si>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</si>
  <si>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</si>
  <si>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</si>
  <si>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</si>
  <si>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</si>
  <si>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</si>
  <si>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</si>
  <si>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</si>
  <si>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</si>
  <si>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</si>
  <si>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</si>
  <si>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</si>
  <si>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</si>
  <si>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</si>
  <si>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</si>
  <si>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</si>
  <si>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</si>
  <si>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</si>
  <si>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</si>
  <si>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</si>
  <si>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</si>
  <si>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</si>
  <si>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</si>
  <si>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</si>
  <si>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</si>
  <si>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</si>
  <si>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</si>
  <si>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</si>
  <si>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</si>
  <si>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</si>
  <si>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</si>
  <si>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</si>
  <si>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</si>
  <si>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Dist O&amp;M - Supervision &amp; Maintenance</t>
  </si>
  <si>
    <t>General Expense - Maintenance &amp; Other</t>
  </si>
  <si>
    <t>A&amp;G Exp - Maint of Gen Plant</t>
  </si>
  <si>
    <t>TOTAL MAINTENANCE EXPENSES</t>
  </si>
  <si>
    <t>TOTAL O &amp; M EXPENSES</t>
  </si>
  <si>
    <t>Depreciation Expense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</si>
  <si>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</si>
  <si>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</si>
  <si>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</si>
  <si>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</si>
  <si>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</si>
  <si>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</si>
  <si>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</si>
  <si>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</si>
  <si>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</si>
  <si>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</si>
  <si>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</si>
  <si>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</si>
  <si>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</si>
  <si>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</si>
  <si>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</si>
  <si>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</si>
  <si>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</si>
  <si>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</si>
  <si>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</si>
  <si>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403.05e</t>
  </si>
  <si>
    <t>Depr Exp - Distribution - OH Poles</t>
  </si>
  <si>
    <t>403.05f</t>
  </si>
  <si>
    <t>Depr Exp - Distribution - OH Conductors</t>
  </si>
  <si>
    <t>403.05g</t>
  </si>
  <si>
    <t>Depr Exp - Distribution - UG Conductors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</si>
  <si>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</si>
  <si>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</si>
  <si>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</si>
  <si>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</si>
  <si>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</si>
  <si>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</si>
  <si>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403.05k</t>
  </si>
  <si>
    <t>Depr Exp - Distribution - Meters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</si>
  <si>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</si>
  <si>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</si>
  <si>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</si>
  <si>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</si>
  <si>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</si>
  <si>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</si>
  <si>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</si>
  <si>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</si>
  <si>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</si>
  <si>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</si>
  <si>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</si>
  <si>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</si>
  <si>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</si>
  <si>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</si>
  <si>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</si>
  <si>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</si>
  <si>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</si>
  <si>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</si>
  <si>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</si>
  <si>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</si>
  <si>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</si>
  <si>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</si>
  <si>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</si>
  <si>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</si>
  <si>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</si>
  <si>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</si>
  <si>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</si>
  <si>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</si>
  <si>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</si>
  <si>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</si>
  <si>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</si>
  <si>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</si>
  <si>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Montana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</si>
  <si>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</si>
  <si>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</si>
  <si>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</si>
  <si>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</si>
  <si>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</si>
  <si>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</si>
  <si>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</si>
  <si>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DIR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</si>
  <si>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</si>
  <si>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</si>
  <si>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</si>
  <si>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</si>
  <si>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</si>
  <si>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</si>
  <si>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</si>
  <si>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</si>
  <si>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</si>
  <si>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</si>
  <si>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</si>
  <si>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</si>
  <si>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</si>
  <si>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</si>
  <si>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</si>
  <si>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</si>
  <si>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</si>
  <si>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</si>
  <si>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</si>
  <si>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</si>
  <si>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</si>
  <si>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</si>
  <si>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</si>
  <si>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</si>
  <si>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Allocation Factor</t>
  </si>
  <si>
    <t>SALES REVENUE</t>
  </si>
  <si>
    <t>REVENUE</t>
  </si>
  <si>
    <t>Sales of Electricity - Firm Revenue</t>
  </si>
  <si>
    <t>Sales of Electricity - Transportation Revenue - Retail</t>
  </si>
  <si>
    <t>Sales of Electricity - Special Contract</t>
  </si>
  <si>
    <t>Sales of Electricity - Small Firm Resale</t>
  </si>
  <si>
    <t>NON FIRM REVENUE</t>
  </si>
  <si>
    <t>Sales of Electricity - Non Firm Revenue</t>
  </si>
  <si>
    <t>Provision for Rate Refund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</si>
  <si>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</si>
  <si>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</si>
  <si>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</si>
  <si>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</si>
  <si>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</si>
  <si>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</si>
  <si>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</si>
  <si>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</si>
  <si>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</si>
  <si>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</si>
  <si>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</si>
  <si>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</si>
  <si>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</si>
  <si>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Pole &amp; Personal Cell Site Contacts - Transmission</t>
  </si>
  <si>
    <t>Rental Revenue - Pole &amp; Personal Cell Site Contacts - Distribution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</si>
  <si>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</si>
  <si>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</si>
  <si>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</si>
  <si>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</si>
  <si>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</si>
  <si>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</si>
  <si>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</si>
  <si>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</si>
  <si>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</si>
  <si>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</si>
  <si>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</si>
  <si>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</si>
  <si>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</si>
  <si>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</si>
  <si>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</si>
  <si>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</si>
  <si>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</si>
  <si>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</si>
  <si>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</si>
  <si>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</si>
  <si>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Check</t>
  </si>
  <si>
    <t>Firm Sales Revenue</t>
  </si>
  <si>
    <t>Non-Firm Revenue</t>
  </si>
  <si>
    <t>Other Revenue</t>
  </si>
  <si>
    <t xml:space="preserve">     Total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</si>
  <si>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</si>
  <si>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</si>
  <si>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</si>
  <si>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</si>
  <si>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</si>
  <si>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</si>
  <si>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</si>
  <si>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</si>
  <si>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</si>
  <si>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Rate of Return @ Current Rates</t>
  </si>
  <si>
    <t>Indexed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</si>
  <si>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</si>
  <si>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</si>
  <si>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</si>
  <si>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</si>
  <si>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</si>
  <si>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</si>
  <si>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</si>
  <si>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</si>
  <si>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Revenue Deficiency / (Surplus)</t>
  </si>
  <si>
    <t>Revenue Requirement</t>
  </si>
  <si>
    <t>Revenues Other Than Rate Sch. Rev.</t>
  </si>
  <si>
    <t>Rate Schedule Revenue Requirement</t>
  </si>
  <si>
    <t>Current Revenue to Cost Ratio</t>
  </si>
  <si>
    <t>Parity Ratio</t>
  </si>
  <si>
    <t>PSE</t>
  </si>
  <si>
    <t>Total Plant In Service</t>
  </si>
  <si>
    <t>Accumulated Depreciation</t>
  </si>
  <si>
    <t>Net Plant</t>
  </si>
  <si>
    <t>Other Additions &amp; Deductions</t>
  </si>
  <si>
    <t>Summary</t>
  </si>
  <si>
    <t>Rate Base</t>
  </si>
  <si>
    <t>Expenses</t>
  </si>
  <si>
    <t>Labor</t>
  </si>
  <si>
    <t>Revenue</t>
  </si>
  <si>
    <t>Alloc Amt</t>
  </si>
  <si>
    <t>Alloc Pct</t>
  </si>
  <si>
    <t xml:space="preserve">     Federal Income Taxes</t>
  </si>
  <si>
    <t>Cost of Service Required Increase</t>
  </si>
  <si>
    <t>Pri Volt
Sch 31</t>
  </si>
  <si>
    <t>Pri Volt
Sch 35</t>
  </si>
  <si>
    <t>Pri Volt
Sch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</si>
</sst>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4" fillId="0" borderId="0" applyNumberFormat="0" applyFill="0" applyBorder="0" applyAlignment="0" applyProtection="0"/>
  </cellStyleXfs>
  <cellXfs count="143">
    <xf numFmtId="0" fontId="0" fillId="0" borderId="0" xfId="0"/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left" wrapText="1"/>
    </xf>
    <xf numFmtId="0" fontId="6" fillId="3" borderId="0" xfId="0" applyFont="1" applyFill="1"/>
    <xf numFmtId="41" fontId="6" fillId="0" borderId="0" xfId="0" applyNumberFormat="1" applyFont="1" applyAlignment="1">
      <alignment horizontal="left" wrapText="1"/>
    </xf>
    <xf numFmtId="165" fontId="7" fillId="4" borderId="2" xfId="1" applyNumberFormat="1" applyFont="1" applyFill="1" applyBorder="1" applyAlignment="1">
      <alignment horizontal="left"/>
    </xf>
    <xf numFmtId="41" fontId="6" fillId="3" borderId="3" xfId="4" applyNumberFormat="1" applyFont="1" applyFill="1" applyBorder="1"/>
    <xf numFmtId="41" fontId="6" fillId="3" borderId="0" xfId="0" applyNumberFormat="1" applyFont="1" applyFill="1"/>
    <xf numFmtId="165" fontId="6" fillId="5" borderId="4" xfId="1" applyNumberFormat="1" applyFont="1" applyFill="1" applyBorder="1" applyAlignment="1">
      <alignment horizontal="left"/>
    </xf>
    <xf numFmtId="165" fontId="7" fillId="4" borderId="2" xfId="1" quotePrefix="1" applyNumberFormat="1" applyFont="1" applyFill="1" applyBorder="1" applyAlignment="1">
      <alignment horizontal="left"/>
    </xf>
    <xf numFmtId="165" fontId="0" fillId="0" borderId="0" xfId="0" applyNumberFormat="1"/>
    <xf numFmtId="164" fontId="7" fillId="4" borderId="0" xfId="0" applyNumberFormat="1" applyFont="1" applyFill="1" applyAlignment="1">
      <alignment horizontal="left" wrapText="1"/>
    </xf>
    <xf numFmtId="0" fontId="8" fillId="0" borderId="0" xfId="0" applyFont="1"/>
    <xf numFmtId="165" fontId="9" fillId="0" borderId="2" xfId="1" applyNumberFormat="1" applyFont="1" applyFill="1" applyBorder="1" applyAlignment="1">
      <alignment horizontal="left"/>
    </xf>
    <xf numFmtId="41" fontId="9" fillId="3" borderId="0" xfId="4" applyNumberFormat="1" applyFont="1" applyFill="1" applyBorder="1"/>
    <xf numFmtId="0" fontId="6" fillId="0" borderId="0" xfId="0" applyFont="1" applyFill="1"/>
    <xf numFmtId="166" fontId="6" fillId="0" borderId="0" xfId="3" applyNumberFormat="1" applyFont="1" applyAlignment="1">
      <alignment horizontal="left" wrapText="1"/>
    </xf>
    <xf numFmtId="166" fontId="0" fillId="0" borderId="0" xfId="3" applyNumberFormat="1" applyFont="1"/>
    <xf numFmtId="0" fontId="0" fillId="0" borderId="0" xfId="0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0" fontId="5" fillId="0" borderId="5" xfId="0" applyFont="1" applyFill="1" applyBorder="1"/>
    <xf numFmtId="2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7" fontId="5" fillId="0" borderId="5" xfId="2" applyNumberFormat="1" applyFont="1" applyFill="1" applyBorder="1" applyAlignment="1">
      <alignment horizontal="center"/>
    </xf>
    <xf numFmtId="0" fontId="5" fillId="0" borderId="6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7" fontId="5" fillId="0" borderId="6" xfId="2" applyNumberFormat="1" applyFont="1" applyFill="1" applyBorder="1" applyAlignment="1">
      <alignment horizontal="center"/>
    </xf>
    <xf numFmtId="167" fontId="6" fillId="0" borderId="0" xfId="0" applyNumberFormat="1" applyFont="1" applyFill="1"/>
    <xf numFmtId="0" fontId="5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wrapText="1"/>
    </xf>
    <xf numFmtId="0" fontId="0" fillId="0" borderId="7" xfId="0" applyBorder="1"/>
    <xf numFmtId="165" fontId="6" fillId="0" borderId="0" xfId="1" applyNumberFormat="1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65" fontId="0" fillId="0" borderId="0" xfId="1" applyNumberFormat="1" applyFont="1"/>
    <xf numFmtId="165" fontId="5" fillId="0" borderId="5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8" fillId="0" borderId="0" xfId="1" applyNumberFormat="1" applyFont="1"/>
    <xf numFmtId="2" fontId="6" fillId="0" borderId="0" xfId="0" applyNumberFormat="1" applyFont="1" applyFill="1"/>
    <xf numFmtId="0" fontId="0" fillId="0" borderId="0" xfId="0" applyFill="1" applyBorder="1"/>
    <xf numFmtId="0" fontId="6" fillId="0" borderId="0" xfId="0" applyFont="1" applyFill="1" applyBorder="1"/>
    <xf numFmtId="167" fontId="6" fillId="0" borderId="0" xfId="0" applyNumberFormat="1" applyFont="1" applyFill="1" applyBorder="1"/>
    <xf numFmtId="0" fontId="0" fillId="0" borderId="7" xfId="0" applyFill="1" applyBorder="1"/>
    <xf numFmtId="165" fontId="0" fillId="0" borderId="0" xfId="1" applyNumberFormat="1" applyFont="1" applyFill="1"/>
    <xf numFmtId="165" fontId="6" fillId="0" borderId="0" xfId="1" applyNumberFormat="1" applyFont="1" applyFill="1" applyBorder="1" applyAlignment="1"/>
    <xf numFmtId="165" fontId="5" fillId="0" borderId="5" xfId="1" applyNumberFormat="1" applyFont="1" applyFill="1" applyBorder="1" applyAlignment="1"/>
    <xf numFmtId="165" fontId="5" fillId="0" borderId="6" xfId="1" applyNumberFormat="1" applyFont="1" applyFill="1" applyBorder="1" applyAlignment="1"/>
    <xf numFmtId="165" fontId="6" fillId="0" borderId="0" xfId="1" applyNumberFormat="1" applyFont="1" applyFill="1"/>
    <xf numFmtId="9" fontId="0" fillId="0" borderId="0" xfId="3" applyFont="1" applyFill="1"/>
    <xf numFmtId="0" fontId="0" fillId="0" borderId="5" xfId="0" applyFill="1" applyBorder="1"/>
    <xf numFmtId="165" fontId="0" fillId="0" borderId="5" xfId="1" applyNumberFormat="1" applyFont="1" applyFill="1" applyBorder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Border="1" applyAlignment="1"/>
    <xf numFmtId="0" fontId="4" fillId="0" borderId="0" xfId="0" applyFont="1"/>
    <xf numFmtId="1" fontId="8" fillId="0" borderId="0" xfId="0" applyNumberFormat="1" applyFont="1"/>
    <xf numFmtId="165" fontId="5" fillId="0" borderId="0" xfId="0" applyNumberFormat="1" applyFont="1" applyFill="1"/>
    <xf numFmtId="0" fontId="10" fillId="0" borderId="0" xfId="0" applyFont="1" applyFill="1"/>
    <xf numFmtId="165" fontId="10" fillId="0" borderId="0" xfId="1" applyNumberFormat="1" applyFont="1" applyFill="1"/>
    <xf numFmtId="9" fontId="10" fillId="0" borderId="0" xfId="3" applyFont="1" applyFill="1"/>
    <xf numFmtId="165" fontId="10" fillId="0" borderId="0" xfId="1" applyNumberFormat="1" applyFont="1"/>
    <xf numFmtId="0" fontId="10" fillId="0" borderId="5" xfId="0" applyFont="1" applyFill="1" applyBorder="1"/>
    <xf numFmtId="165" fontId="10" fillId="0" borderId="5" xfId="1" applyNumberFormat="1" applyFont="1" applyFill="1" applyBorder="1"/>
    <xf numFmtId="165" fontId="11" fillId="0" borderId="0" xfId="1" applyNumberFormat="1" applyFont="1"/>
    <xf numFmtId="165" fontId="4" fillId="0" borderId="5" xfId="0" applyNumberFormat="1" applyFont="1" applyFill="1" applyBorder="1"/>
    <xf numFmtId="0" fontId="0" fillId="0" borderId="6" xfId="0" applyFill="1" applyBorder="1"/>
    <xf numFmtId="0" fontId="10" fillId="0" borderId="0" xfId="0" applyFont="1"/>
    <xf numFmtId="2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0" fontId="0" fillId="0" borderId="0" xfId="0" applyFont="1"/>
    <xf numFmtId="165" fontId="12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/>
    <xf numFmtId="167" fontId="13" fillId="0" borderId="0" xfId="2" applyNumberFormat="1" applyFont="1" applyFill="1" applyBorder="1" applyAlignment="1"/>
    <xf numFmtId="2" fontId="5" fillId="0" borderId="5" xfId="0" applyNumberFormat="1" applyFont="1" applyFill="1" applyBorder="1"/>
    <xf numFmtId="167" fontId="5" fillId="0" borderId="5" xfId="2" applyNumberFormat="1" applyFont="1" applyFill="1" applyBorder="1" applyAlignment="1"/>
    <xf numFmtId="2" fontId="5" fillId="0" borderId="6" xfId="0" applyNumberFormat="1" applyFont="1" applyFill="1" applyBorder="1"/>
    <xf numFmtId="167" fontId="13" fillId="0" borderId="0" xfId="0" applyNumberFormat="1" applyFont="1" applyFill="1"/>
    <xf numFmtId="167" fontId="0" fillId="0" borderId="0" xfId="0" applyNumberFormat="1" applyFill="1"/>
    <xf numFmtId="0" fontId="0" fillId="0" borderId="8" xfId="0" applyBorder="1"/>
    <xf numFmtId="0" fontId="0" fillId="0" borderId="8" xfId="0" applyFill="1" applyBorder="1"/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5" fontId="0" fillId="0" borderId="0" xfId="0" applyNumberFormat="1" applyFill="1" applyBorder="1"/>
    <xf numFmtId="10" fontId="0" fillId="0" borderId="0" xfId="3" applyNumberFormat="1" applyFont="1" applyFill="1" applyBorder="1"/>
    <xf numFmtId="165" fontId="8" fillId="0" borderId="0" xfId="0" applyNumberFormat="1" applyFont="1"/>
    <xf numFmtId="167" fontId="0" fillId="0" borderId="0" xfId="0" applyNumberFormat="1"/>
    <xf numFmtId="165" fontId="10" fillId="0" borderId="0" xfId="0" applyNumberFormat="1" applyFont="1" applyFill="1"/>
    <xf numFmtId="0" fontId="0" fillId="0" borderId="9" xfId="0" applyFill="1" applyBorder="1"/>
    <xf numFmtId="2" fontId="0" fillId="0" borderId="0" xfId="0" applyNumberFormat="1" applyFill="1" applyBorder="1"/>
    <xf numFmtId="0" fontId="4" fillId="0" borderId="6" xfId="0" applyFont="1" applyFill="1" applyBorder="1"/>
    <xf numFmtId="165" fontId="4" fillId="0" borderId="6" xfId="0" applyNumberFormat="1" applyFont="1" applyFill="1" applyBorder="1"/>
    <xf numFmtId="0" fontId="4" fillId="0" borderId="0" xfId="0" applyFont="1" applyFill="1" applyBorder="1"/>
    <xf numFmtId="165" fontId="0" fillId="0" borderId="5" xfId="0" applyNumberFormat="1" applyFill="1" applyBorder="1"/>
    <xf numFmtId="2" fontId="0" fillId="0" borderId="5" xfId="0" applyNumberForma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5" fillId="0" borderId="0" xfId="5" applyFont="1"/>
    <xf numFmtId="167" fontId="6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10" fillId="0" borderId="0" xfId="1" applyNumberFormat="1" applyFont="1"/>
    <xf numFmtId="167" fontId="6" fillId="0" borderId="0" xfId="0" applyNumberFormat="1" applyFont="1" applyFill="1" applyAlignment="1">
      <alignment horizontal="center"/>
    </xf>
    <xf numFmtId="167" fontId="12" fillId="0" borderId="0" xfId="1" applyNumberFormat="1" applyFont="1" applyFill="1" applyAlignment="1">
      <alignment horizontal="center"/>
    </xf>
    <xf numFmtId="167" fontId="5" fillId="0" borderId="5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3" fillId="0" borderId="0" xfId="1" applyNumberFormat="1" applyFont="1" applyFill="1"/>
    <xf numFmtId="165" fontId="9" fillId="0" borderId="0" xfId="1" applyNumberFormat="1" applyFont="1" applyFill="1" applyBorder="1" applyAlignment="1"/>
    <xf numFmtId="165" fontId="3" fillId="0" borderId="0" xfId="1" applyNumberFormat="1" applyFont="1"/>
    <xf numFmtId="165" fontId="3" fillId="0" borderId="0" xfId="0" applyNumberFormat="1" applyFont="1" applyFill="1"/>
    <xf numFmtId="9" fontId="3" fillId="0" borderId="0" xfId="3" applyFont="1" applyFill="1"/>
    <xf numFmtId="167" fontId="0" fillId="0" borderId="0" xfId="2" applyNumberFormat="1" applyFont="1" applyFill="1" applyBorder="1"/>
    <xf numFmtId="0" fontId="16" fillId="0" borderId="0" xfId="0" applyFont="1" applyFill="1" applyBorder="1"/>
    <xf numFmtId="167" fontId="16" fillId="0" borderId="0" xfId="2" applyNumberFormat="1" applyFont="1" applyFill="1" applyBorder="1"/>
    <xf numFmtId="165" fontId="16" fillId="0" borderId="0" xfId="1" applyNumberFormat="1" applyFont="1"/>
    <xf numFmtId="165" fontId="16" fillId="0" borderId="0" xfId="0" applyNumberFormat="1" applyFont="1" applyFill="1" applyBorder="1"/>
    <xf numFmtId="0" fontId="10" fillId="0" borderId="0" xfId="0" applyFont="1" applyFill="1" applyBorder="1"/>
    <xf numFmtId="165" fontId="10" fillId="0" borderId="0" xfId="1" applyNumberFormat="1" applyFont="1" applyFill="1" applyBorder="1"/>
    <xf numFmtId="165" fontId="10" fillId="0" borderId="0" xfId="0" applyNumberFormat="1" applyFont="1" applyFill="1" applyBorder="1"/>
    <xf numFmtId="0" fontId="17" fillId="0" borderId="0" xfId="0" applyFont="1" applyAlignment="1"/>
    <xf numFmtId="0" fontId="17" fillId="0" borderId="7" xfId="0" applyFont="1" applyBorder="1" applyAlignment="1"/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0" xfId="0" applyFill="1" applyBorder="1"/>
    <xf numFmtId="0" fontId="4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1" fillId="0" borderId="0" xfId="1" applyNumberFormat="1" applyFont="1"/>
  </cellXfs>
  <cellStyles count="6">
    <cellStyle name="Calculation" xfId="4" builtinId="22"/>
    <cellStyle name="Comma" xfId="1" builtinId="3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iecon.sharepoint.com/Cases/19%20CASES/1921%20Puget%20Sound%20-%20RD/GAW%20Work/CCOSS/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29">
          <cell r="F29">
            <v>7.6200000000000004E-2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6EF-1DE2-4236-9F75-4A4282B1799C}">
  <dimension ref="A3:A9"/>
  <sheetViews>
    <sheetView workbookViewId="0">
      <selection activeCell="A6" sqref="A6"/>
    </sheetView>
  </sheetViews>
  <sheetFormatPr defaultRowHeight="15" x14ac:dyDescent="0.25"/>
  <cols>
    <col min="1" max="1" width="11.5703125" customWidth="1"/>
  </cols>
  <sheetData>
    <row r="3" spans="1:1" x14ac:dyDescent="0.25">
      <c r="A3" s="108" t="s">
        <v>570</v>
      </c>
    </row>
    <row r="4" spans="1:1" x14ac:dyDescent="0.25">
      <c r="A4" s="108" t="s">
        <v>571</v>
      </c>
    </row>
    <row r="5" spans="1:1" x14ac:dyDescent="0.25">
      <c r="A5" s="108" t="s">
        <v>572</v>
      </c>
    </row>
    <row r="6" spans="1:1" x14ac:dyDescent="0.25">
      <c r="A6" s="108" t="s">
        <v>573</v>
      </c>
    </row>
    <row r="7" spans="1:1" x14ac:dyDescent="0.25">
      <c r="A7" s="108" t="s">
        <v>574</v>
      </c>
    </row>
    <row r="8" spans="1:1" x14ac:dyDescent="0.25">
      <c r="A8" s="108" t="s">
        <v>575</v>
      </c>
    </row>
    <row r="9" spans="1:1" x14ac:dyDescent="0.25">
      <c r="A9" s="108" t="s">
        <v>576</v>
      </c>
    </row>
  </sheetData>
  <hyperlinks>
    <hyperlink ref="A3" location="Summary!A1" display="Summary" xr:uid="{36353B00-3F29-47AB-884E-A000E931A0B0}"/>
    <hyperlink ref="A4:A7" location="Summary!A1" display="Summary" xr:uid="{69FC540F-FB67-4571-BF9F-1C4A8F92CAFE}"/>
    <hyperlink ref="A4" location="'Rate Base'!A1" display="Rate Base" xr:uid="{F6FE1867-3202-422A-90D7-163ABE6F998F}"/>
    <hyperlink ref="A5" location="Expenses!A1" display="Expenses" xr:uid="{12E6659F-D852-4EE9-87CB-13EBFF9760B2}"/>
    <hyperlink ref="A6" location="Labor!A1" display="Labor" xr:uid="{0D1CED1C-B7FC-4F62-93CC-638C2A69CA2F}"/>
    <hyperlink ref="A7" location="Revenue!A1" display="Revenue" xr:uid="{594B2B26-AC2D-432F-94EC-82C8B9389E7F}"/>
    <hyperlink ref="A8" location="'Alloc Amt'!A1" display="Alloc Amt" xr:uid="{392A7A58-C6DF-4C60-A75A-78B4D1DCA464}"/>
    <hyperlink ref="A9" location="'Alloc Pct'!A1" display="Alloc Pct" xr:uid="{107CC1D1-A7B6-4620-85F8-A04A2BEC47F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B7A8-53C0-4DC7-9D71-68E4B7BF55BB}">
  <dimension ref="A1:T71"/>
  <sheetViews>
    <sheetView tabSelected="1" workbookViewId="0">
      <pane xSplit="5" ySplit="5" topLeftCell="M48" activePane="bottomRight" state="frozen"/>
      <selection pane="topRight" activeCell="F1" sqref="F1"/>
      <selection pane="bottomLeft" activeCell="A6" sqref="A6"/>
      <selection pane="bottomRight" activeCell="K55" sqref="K55:M55"/>
    </sheetView>
  </sheetViews>
  <sheetFormatPr defaultRowHeight="15" x14ac:dyDescent="0.25"/>
  <cols>
    <col min="1" max="1" width="20.5703125" style="44" customWidth="1"/>
    <col min="2" max="2" width="13.28515625" style="44" customWidth="1"/>
    <col min="3" max="3" width="17.7109375" style="44" bestFit="1" customWidth="1"/>
    <col min="4" max="4" width="12.5703125" style="44" bestFit="1" customWidth="1"/>
    <col min="5" max="5" width="9.140625" style="44"/>
    <col min="6" max="6" width="18" style="44" bestFit="1" customWidth="1"/>
    <col min="7" max="7" width="15" style="44" bestFit="1" customWidth="1"/>
    <col min="8" max="8" width="14.28515625" style="44" bestFit="1" customWidth="1"/>
    <col min="9" max="9" width="13.85546875" style="44" customWidth="1"/>
    <col min="10" max="11" width="13.42578125" style="44" bestFit="1" customWidth="1"/>
    <col min="12" max="13" width="13.42578125" style="44" customWidth="1"/>
    <col min="14" max="14" width="13.7109375" style="44" bestFit="1" customWidth="1"/>
    <col min="15" max="15" width="14.5703125" style="44" bestFit="1" customWidth="1"/>
    <col min="16" max="16" width="13.7109375" style="44" bestFit="1" customWidth="1"/>
    <col min="17" max="18" width="14.5703125" style="44" bestFit="1" customWidth="1"/>
    <col min="19" max="16384" width="9.140625" style="44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ht="23.25" x14ac:dyDescent="0.3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20" customFormat="1" ht="23.25" x14ac:dyDescent="0.3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</row>
    <row r="4" spans="1:20" customFormat="1" ht="51" x14ac:dyDescent="0.25">
      <c r="A4" s="135"/>
      <c r="B4" s="135"/>
      <c r="C4" s="136" t="s">
        <v>565</v>
      </c>
      <c r="D4" s="136" t="s">
        <v>320</v>
      </c>
      <c r="E4" s="135"/>
      <c r="F4" s="137"/>
      <c r="G4" s="138" t="s">
        <v>313</v>
      </c>
      <c r="H4" s="138" t="s">
        <v>314</v>
      </c>
      <c r="I4" s="138" t="s">
        <v>315</v>
      </c>
      <c r="J4" s="138" t="s">
        <v>316</v>
      </c>
      <c r="K4" s="138" t="s">
        <v>579</v>
      </c>
      <c r="L4" s="138" t="s">
        <v>580</v>
      </c>
      <c r="M4" s="138" t="s">
        <v>581</v>
      </c>
      <c r="N4" s="138" t="s">
        <v>9</v>
      </c>
      <c r="O4" s="138" t="s">
        <v>317</v>
      </c>
      <c r="P4" s="138" t="s">
        <v>318</v>
      </c>
      <c r="Q4" s="138" t="s">
        <v>319</v>
      </c>
      <c r="R4" s="138" t="s">
        <v>13</v>
      </c>
      <c r="T4" s="106" t="s">
        <v>535</v>
      </c>
    </row>
    <row r="5" spans="1:20" customFormat="1" x14ac:dyDescent="0.25">
      <c r="A5" s="47"/>
      <c r="B5" s="35"/>
      <c r="C5" s="105" t="s">
        <v>181</v>
      </c>
      <c r="D5" s="105" t="s">
        <v>321</v>
      </c>
      <c r="E5" s="47"/>
      <c r="F5" s="105" t="s">
        <v>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20" customFormat="1" x14ac:dyDescent="0.25"/>
    <row r="7" spans="1:20" customFormat="1" x14ac:dyDescent="0.25"/>
    <row r="8" spans="1:20" x14ac:dyDescent="0.25">
      <c r="A8" t="s">
        <v>536</v>
      </c>
      <c r="F8" s="90">
        <f>SUM(G8:R8)</f>
        <v>1997002383.941232</v>
      </c>
      <c r="G8" s="90">
        <f>Revenue!G15</f>
        <v>1105896513.2900393</v>
      </c>
      <c r="H8" s="90">
        <f>Revenue!H15</f>
        <v>263390391.2140398</v>
      </c>
      <c r="I8" s="90">
        <f>Revenue!I15</f>
        <v>270703257.2199825</v>
      </c>
      <c r="J8" s="90">
        <f>Revenue!J15</f>
        <v>160280839.13024956</v>
      </c>
      <c r="K8" s="90">
        <f>Revenue!K15</f>
        <v>113255219.09203497</v>
      </c>
      <c r="L8" s="90">
        <f>Revenue!L15</f>
        <v>268014.00021779712</v>
      </c>
      <c r="M8" s="90">
        <f>Revenue!M15</f>
        <v>10687146.00868473</v>
      </c>
      <c r="N8" s="90">
        <f>Revenue!N15</f>
        <v>5493553</v>
      </c>
      <c r="O8" s="90">
        <f>Revenue!O15</f>
        <v>40128244.032609545</v>
      </c>
      <c r="P8" s="90">
        <f>Revenue!P15</f>
        <v>10117371.780000001</v>
      </c>
      <c r="Q8" s="90">
        <f>Revenue!Q15</f>
        <v>16457494.013373908</v>
      </c>
      <c r="R8" s="90">
        <f>Revenue!R15</f>
        <v>324341.16000000003</v>
      </c>
      <c r="T8" s="93">
        <f>F8-SUM(G8:R8)</f>
        <v>0</v>
      </c>
    </row>
    <row r="9" spans="1:20" x14ac:dyDescent="0.25">
      <c r="A9" t="s">
        <v>537</v>
      </c>
      <c r="F9" s="90">
        <f t="shared" ref="F9" si="1">SUM(G9:R9)</f>
        <v>5469488.0226491978</v>
      </c>
      <c r="G9" s="90">
        <f>Revenue!G20</f>
        <v>2882952.4314700756</v>
      </c>
      <c r="H9" s="90">
        <f>Revenue!H20</f>
        <v>724358.04342279374</v>
      </c>
      <c r="I9" s="90">
        <f>Revenue!I20</f>
        <v>802202.61397954659</v>
      </c>
      <c r="J9" s="90">
        <f>Revenue!J20</f>
        <v>507443.61591371079</v>
      </c>
      <c r="K9" s="90">
        <f>Revenue!K20</f>
        <v>353530.71012916713</v>
      </c>
      <c r="L9" s="90">
        <f>Revenue!L20</f>
        <v>1017.0452463412464</v>
      </c>
      <c r="M9" s="90">
        <f>Revenue!M20</f>
        <v>28039.979511848538</v>
      </c>
      <c r="N9" s="90">
        <f>Revenue!N20</f>
        <v>0</v>
      </c>
      <c r="O9" s="90">
        <f>Revenue!O20</f>
        <v>150061.00554546656</v>
      </c>
      <c r="P9" s="90">
        <f>Revenue!P20</f>
        <v>0</v>
      </c>
      <c r="Q9" s="90">
        <f>Revenue!Q20</f>
        <v>18019.763521166904</v>
      </c>
      <c r="R9" s="90">
        <f>Revenue!R20</f>
        <v>1862.8139090817247</v>
      </c>
      <c r="T9" s="93">
        <f t="shared" ref="T9:T60" si="2">F9-SUM(G9:R9)</f>
        <v>0</v>
      </c>
    </row>
    <row r="10" spans="1:20" x14ac:dyDescent="0.25">
      <c r="A10" s="36" t="s">
        <v>538</v>
      </c>
      <c r="B10" s="47"/>
      <c r="C10" s="47"/>
      <c r="D10" s="47"/>
      <c r="E10" s="47"/>
      <c r="F10" s="91">
        <f>SUM(G10:R10)</f>
        <v>76831178.983163416</v>
      </c>
      <c r="G10" s="91">
        <f>Revenue!G54</f>
        <v>41891450.713883169</v>
      </c>
      <c r="H10" s="91">
        <f>Revenue!H54</f>
        <v>10912996.116569305</v>
      </c>
      <c r="I10" s="91">
        <f>Revenue!I54</f>
        <v>8170551.5745696891</v>
      </c>
      <c r="J10" s="91">
        <f>Revenue!J54</f>
        <v>4815673.0985493883</v>
      </c>
      <c r="K10" s="91">
        <f>Revenue!K54</f>
        <v>3888800.8825477795</v>
      </c>
      <c r="L10" s="91">
        <f>Revenue!L54</f>
        <v>16133.569480955715</v>
      </c>
      <c r="M10" s="91">
        <f>Revenue!M54</f>
        <v>342080.99324862577</v>
      </c>
      <c r="N10" s="91">
        <f>Revenue!N54</f>
        <v>1110812.9075238416</v>
      </c>
      <c r="O10" s="91">
        <f>Revenue!O54</f>
        <v>4311843.9752027243</v>
      </c>
      <c r="P10" s="91">
        <f>Revenue!P54</f>
        <v>1077072.9172933849</v>
      </c>
      <c r="Q10" s="91">
        <f>Revenue!Q54</f>
        <v>268394.74314632459</v>
      </c>
      <c r="R10" s="91">
        <f>Revenue!R54</f>
        <v>25367.491148233275</v>
      </c>
      <c r="T10" s="93">
        <f t="shared" si="2"/>
        <v>0</v>
      </c>
    </row>
    <row r="11" spans="1:20" x14ac:dyDescent="0.25">
      <c r="A11" s="59" t="s">
        <v>539</v>
      </c>
      <c r="F11" s="90">
        <f>SUM(F8:F10)</f>
        <v>2079303050.9470446</v>
      </c>
      <c r="G11" s="90">
        <f t="shared" ref="G11:R11" si="3">SUM(G8:G10)</f>
        <v>1150670916.4353926</v>
      </c>
      <c r="H11" s="90">
        <f t="shared" si="3"/>
        <v>275027745.3740319</v>
      </c>
      <c r="I11" s="90">
        <f t="shared" si="3"/>
        <v>279676011.40853173</v>
      </c>
      <c r="J11" s="90">
        <f t="shared" si="3"/>
        <v>165603955.84471267</v>
      </c>
      <c r="K11" s="90">
        <f t="shared" si="3"/>
        <v>117497550.68471192</v>
      </c>
      <c r="L11" s="90">
        <f t="shared" si="3"/>
        <v>285164.6149450941</v>
      </c>
      <c r="M11" s="90">
        <f t="shared" si="3"/>
        <v>11057266.981445204</v>
      </c>
      <c r="N11" s="90">
        <f t="shared" si="3"/>
        <v>6604365.9075238416</v>
      </c>
      <c r="O11" s="90">
        <f t="shared" si="3"/>
        <v>44590149.013357736</v>
      </c>
      <c r="P11" s="90">
        <f t="shared" si="3"/>
        <v>11194444.697293386</v>
      </c>
      <c r="Q11" s="90">
        <f t="shared" si="3"/>
        <v>16743908.520041399</v>
      </c>
      <c r="R11" s="90">
        <f t="shared" si="3"/>
        <v>351571.46505731507</v>
      </c>
      <c r="T11" s="93">
        <f t="shared" si="2"/>
        <v>0</v>
      </c>
    </row>
    <row r="12" spans="1:20" x14ac:dyDescent="0.25">
      <c r="A12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T12" s="93">
        <f t="shared" si="2"/>
        <v>0</v>
      </c>
    </row>
    <row r="13" spans="1:20" x14ac:dyDescent="0.25">
      <c r="A13" t="s">
        <v>540</v>
      </c>
      <c r="F13" s="90">
        <f t="shared" ref="F13:F15" ca="1" si="4">SUM(G13:R13)</f>
        <v>1143200417.3098586</v>
      </c>
      <c r="G13" s="90">
        <f ca="1">Expenses!G122</f>
        <v>642196607.62456226</v>
      </c>
      <c r="H13" s="90">
        <f ca="1">Expenses!H122</f>
        <v>147205463.52893367</v>
      </c>
      <c r="I13" s="90">
        <f ca="1">Expenses!I122</f>
        <v>150312451.29967555</v>
      </c>
      <c r="J13" s="90">
        <f ca="1">Expenses!J122</f>
        <v>92554423.66532129</v>
      </c>
      <c r="K13" s="90">
        <f ca="1">Expenses!K122</f>
        <v>66524961.713805884</v>
      </c>
      <c r="L13" s="90">
        <f ca="1">Expenses!L122</f>
        <v>247104.47172372486</v>
      </c>
      <c r="M13" s="90">
        <f ca="1">Expenses!M122</f>
        <v>6232054.3442185018</v>
      </c>
      <c r="N13" s="90">
        <f ca="1">Expenses!N122</f>
        <v>1455316.4411740713</v>
      </c>
      <c r="O13" s="90">
        <f ca="1">Expenses!O122</f>
        <v>26282217.798206381</v>
      </c>
      <c r="P13" s="90">
        <f ca="1">Expenses!P122</f>
        <v>2856003.7681558854</v>
      </c>
      <c r="Q13" s="90">
        <f ca="1">Expenses!Q122</f>
        <v>6961404.2700336501</v>
      </c>
      <c r="R13" s="90">
        <f ca="1">Expenses!R122</f>
        <v>372408.38404766342</v>
      </c>
      <c r="T13" s="93">
        <f t="shared" ca="1" si="2"/>
        <v>0</v>
      </c>
    </row>
    <row r="14" spans="1:20" x14ac:dyDescent="0.25">
      <c r="A14" t="s">
        <v>541</v>
      </c>
      <c r="F14" s="90">
        <f t="shared" si="4"/>
        <v>497013983.85999954</v>
      </c>
      <c r="G14" s="90">
        <f>Expenses!G174</f>
        <v>292539488.34823555</v>
      </c>
      <c r="H14" s="90">
        <f>Expenses!H174</f>
        <v>62461323.068208694</v>
      </c>
      <c r="I14" s="90">
        <f>Expenses!I174</f>
        <v>59054340.242286429</v>
      </c>
      <c r="J14" s="90">
        <f>Expenses!J174</f>
        <v>33384332.073589697</v>
      </c>
      <c r="K14" s="90">
        <f>Expenses!K174</f>
        <v>25249158.051293474</v>
      </c>
      <c r="L14" s="90">
        <f>Expenses!L174</f>
        <v>132037.75274461042</v>
      </c>
      <c r="M14" s="90">
        <f>Expenses!M174</f>
        <v>3290929.7685280009</v>
      </c>
      <c r="N14" s="90">
        <f>Expenses!N174</f>
        <v>2036487.7888368422</v>
      </c>
      <c r="O14" s="90">
        <f>Expenses!O174</f>
        <v>8304467.6075822469</v>
      </c>
      <c r="P14" s="90">
        <f>Expenses!P174</f>
        <v>4169760.0987597466</v>
      </c>
      <c r="Q14" s="90">
        <f>Expenses!Q174</f>
        <v>6236203.6932173595</v>
      </c>
      <c r="R14" s="90">
        <f>Expenses!R174</f>
        <v>155455.36671685742</v>
      </c>
      <c r="T14" s="93">
        <f t="shared" si="2"/>
        <v>0</v>
      </c>
    </row>
    <row r="15" spans="1:20" x14ac:dyDescent="0.25">
      <c r="A15" s="36" t="s">
        <v>542</v>
      </c>
      <c r="B15" s="47"/>
      <c r="C15" s="47"/>
      <c r="D15" s="47"/>
      <c r="E15" s="47"/>
      <c r="F15" s="91">
        <f t="shared" ca="1" si="4"/>
        <v>86495562.504948333</v>
      </c>
      <c r="G15" s="91">
        <f ca="1">Expenses!G182</f>
        <v>49663238.061939187</v>
      </c>
      <c r="H15" s="91">
        <f ca="1">Expenses!H182</f>
        <v>10886207.009429358</v>
      </c>
      <c r="I15" s="91">
        <f ca="1">Expenses!I182</f>
        <v>10868267.384631533</v>
      </c>
      <c r="J15" s="91">
        <f ca="1">Expenses!J182</f>
        <v>6448920.8032298144</v>
      </c>
      <c r="K15" s="91">
        <f ca="1">Expenses!K182</f>
        <v>4731731.3993098447</v>
      </c>
      <c r="L15" s="91">
        <f ca="1">Expenses!L182</f>
        <v>20883.179772105388</v>
      </c>
      <c r="M15" s="91">
        <f ca="1">Expenses!M182</f>
        <v>518961.954497781</v>
      </c>
      <c r="N15" s="91">
        <f ca="1">Expenses!N182</f>
        <v>288613.23216844257</v>
      </c>
      <c r="O15" s="91">
        <f ca="1">Expenses!O182</f>
        <v>1734292.2159329338</v>
      </c>
      <c r="P15" s="91">
        <f ca="1">Expenses!P182</f>
        <v>530878.10974084819</v>
      </c>
      <c r="Q15" s="91">
        <f ca="1">Expenses!Q182</f>
        <v>775849.86952726962</v>
      </c>
      <c r="R15" s="91">
        <f ca="1">Expenses!R182</f>
        <v>27719.28476921935</v>
      </c>
      <c r="T15" s="93">
        <f t="shared" ca="1" si="2"/>
        <v>0</v>
      </c>
    </row>
    <row r="16" spans="1:20" x14ac:dyDescent="0.25">
      <c r="A16" s="59" t="s">
        <v>543</v>
      </c>
      <c r="F16" s="90">
        <f ca="1">SUM(F13:F15)</f>
        <v>1726709963.6748064</v>
      </c>
      <c r="G16" s="90">
        <f t="shared" ref="G16:R16" ca="1" si="5">SUM(G13:G15)</f>
        <v>984399334.03473711</v>
      </c>
      <c r="H16" s="90">
        <f t="shared" ca="1" si="5"/>
        <v>220552993.60657173</v>
      </c>
      <c r="I16" s="90">
        <f t="shared" ca="1" si="5"/>
        <v>220235058.92659351</v>
      </c>
      <c r="J16" s="90">
        <f t="shared" ca="1" si="5"/>
        <v>132387676.5421408</v>
      </c>
      <c r="K16" s="90">
        <f t="shared" ca="1" si="5"/>
        <v>96505851.164409205</v>
      </c>
      <c r="L16" s="90">
        <f t="shared" ref="L16:M16" ca="1" si="6">SUM(L13:L15)</f>
        <v>400025.40424044069</v>
      </c>
      <c r="M16" s="90">
        <f t="shared" ca="1" si="6"/>
        <v>10041946.067244284</v>
      </c>
      <c r="N16" s="90">
        <f t="shared" ca="1" si="5"/>
        <v>3780417.4621793563</v>
      </c>
      <c r="O16" s="90">
        <f t="shared" ca="1" si="5"/>
        <v>36320977.621721566</v>
      </c>
      <c r="P16" s="90">
        <f t="shared" ca="1" si="5"/>
        <v>7556641.9766564798</v>
      </c>
      <c r="Q16" s="90">
        <f t="shared" ca="1" si="5"/>
        <v>13973457.832778279</v>
      </c>
      <c r="R16" s="90">
        <f t="shared" ca="1" si="5"/>
        <v>555583.03553374019</v>
      </c>
      <c r="T16" s="93">
        <f t="shared" ca="1" si="2"/>
        <v>0</v>
      </c>
    </row>
    <row r="17" spans="1:20" x14ac:dyDescent="0.25">
      <c r="A17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T17" s="93">
        <f t="shared" si="2"/>
        <v>0</v>
      </c>
    </row>
    <row r="18" spans="1:20" x14ac:dyDescent="0.25">
      <c r="A18" t="s">
        <v>544</v>
      </c>
      <c r="F18" s="90">
        <f ca="1">F11-F16</f>
        <v>352593087.27223825</v>
      </c>
      <c r="G18" s="90">
        <f t="shared" ref="G18:R18" ca="1" si="7">G11-G16</f>
        <v>166271582.40065551</v>
      </c>
      <c r="H18" s="90">
        <f t="shared" ca="1" si="7"/>
        <v>54474751.767460167</v>
      </c>
      <c r="I18" s="90">
        <f t="shared" ca="1" si="7"/>
        <v>59440952.481938213</v>
      </c>
      <c r="J18" s="90">
        <f t="shared" ca="1" si="7"/>
        <v>33216279.302571878</v>
      </c>
      <c r="K18" s="90">
        <f t="shared" ca="1" si="7"/>
        <v>20991699.520302713</v>
      </c>
      <c r="L18" s="90">
        <f t="shared" ca="1" si="7"/>
        <v>-114860.78929534659</v>
      </c>
      <c r="M18" s="90">
        <f t="shared" ca="1" si="7"/>
        <v>1015320.9142009206</v>
      </c>
      <c r="N18" s="90">
        <f t="shared" ca="1" si="7"/>
        <v>2823948.4453444853</v>
      </c>
      <c r="O18" s="90">
        <f t="shared" ca="1" si="7"/>
        <v>8269171.3916361704</v>
      </c>
      <c r="P18" s="90">
        <f t="shared" ca="1" si="7"/>
        <v>3637802.7206369061</v>
      </c>
      <c r="Q18" s="90">
        <f t="shared" ca="1" si="7"/>
        <v>2770450.68726312</v>
      </c>
      <c r="R18" s="90">
        <f t="shared" ca="1" si="7"/>
        <v>-204011.57047642511</v>
      </c>
      <c r="T18" s="93">
        <f t="shared" ca="1" si="2"/>
        <v>0</v>
      </c>
    </row>
    <row r="19" spans="1:20" x14ac:dyDescent="0.25">
      <c r="A1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T19" s="93">
        <f t="shared" si="2"/>
        <v>0</v>
      </c>
    </row>
    <row r="20" spans="1:20" x14ac:dyDescent="0.25">
      <c r="A20" t="s">
        <v>545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T20" s="93">
        <f t="shared" si="2"/>
        <v>0</v>
      </c>
    </row>
    <row r="21" spans="1:20" x14ac:dyDescent="0.25">
      <c r="A21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T21" s="93">
        <f t="shared" si="2"/>
        <v>0</v>
      </c>
    </row>
    <row r="22" spans="1:20" x14ac:dyDescent="0.25">
      <c r="A22" t="s">
        <v>546</v>
      </c>
      <c r="F22" s="90">
        <f>SUM(G22:R22)</f>
        <v>14254091.317042818</v>
      </c>
      <c r="G22" s="90">
        <f>Expenses!G187</f>
        <v>8225132.5950844884</v>
      </c>
      <c r="H22" s="90">
        <f>Expenses!H187</f>
        <v>1711504.5693902019</v>
      </c>
      <c r="I22" s="90">
        <f>Expenses!I187</f>
        <v>1772000.0793772954</v>
      </c>
      <c r="J22" s="90">
        <f>Expenses!J187</f>
        <v>1004883.3094408037</v>
      </c>
      <c r="K22" s="90">
        <f>Expenses!K187</f>
        <v>755922.92304968461</v>
      </c>
      <c r="L22" s="90">
        <f>Expenses!L187</f>
        <v>4033.5654447700072</v>
      </c>
      <c r="M22" s="90">
        <f>Expenses!M187</f>
        <v>97651.096531167568</v>
      </c>
      <c r="N22" s="90">
        <f>Expenses!N187</f>
        <v>100225.79682585713</v>
      </c>
      <c r="O22" s="90">
        <f>Expenses!O187</f>
        <v>251012.78671302507</v>
      </c>
      <c r="P22" s="90">
        <f>Expenses!P187</f>
        <v>175616.1348816097</v>
      </c>
      <c r="Q22" s="90">
        <f>Expenses!Q187</f>
        <v>151391.75071795599</v>
      </c>
      <c r="R22" s="90">
        <f>Expenses!R187</f>
        <v>4716.7095859586625</v>
      </c>
      <c r="T22" s="93">
        <f t="shared" si="2"/>
        <v>0</v>
      </c>
    </row>
    <row r="23" spans="1:20" ht="15.75" thickBot="1" x14ac:dyDescent="0.3">
      <c r="A23" s="88"/>
      <c r="B23" s="89"/>
      <c r="C23" s="89"/>
      <c r="D23" s="89"/>
      <c r="E23" s="89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T23" s="93">
        <f t="shared" si="2"/>
        <v>0</v>
      </c>
    </row>
    <row r="24" spans="1:20" ht="15.75" thickTop="1" x14ac:dyDescent="0.25">
      <c r="A24" s="59" t="s">
        <v>547</v>
      </c>
      <c r="F24" s="90">
        <f ca="1">F18-F22</f>
        <v>338338995.95519543</v>
      </c>
      <c r="G24" s="90">
        <f t="shared" ref="G24:R24" ca="1" si="8">G18-G22</f>
        <v>158046449.80557102</v>
      </c>
      <c r="H24" s="90">
        <f t="shared" ca="1" si="8"/>
        <v>52763247.198069967</v>
      </c>
      <c r="I24" s="90">
        <f t="shared" ca="1" si="8"/>
        <v>57668952.40256092</v>
      </c>
      <c r="J24" s="90">
        <f t="shared" ca="1" si="8"/>
        <v>32211395.993131075</v>
      </c>
      <c r="K24" s="90">
        <f t="shared" ca="1" si="8"/>
        <v>20235776.597253028</v>
      </c>
      <c r="L24" s="90">
        <f t="shared" ca="1" si="8"/>
        <v>-118894.3547401166</v>
      </c>
      <c r="M24" s="90">
        <f t="shared" ca="1" si="8"/>
        <v>917669.81766975299</v>
      </c>
      <c r="N24" s="90">
        <f t="shared" ca="1" si="8"/>
        <v>2723722.6485186284</v>
      </c>
      <c r="O24" s="90">
        <f t="shared" ca="1" si="8"/>
        <v>8018158.6049231458</v>
      </c>
      <c r="P24" s="90">
        <f t="shared" ca="1" si="8"/>
        <v>3462186.5857552965</v>
      </c>
      <c r="Q24" s="90">
        <f t="shared" ca="1" si="8"/>
        <v>2619058.9365451639</v>
      </c>
      <c r="R24" s="90">
        <f t="shared" ca="1" si="8"/>
        <v>-208728.28006238377</v>
      </c>
      <c r="T24" s="93">
        <f t="shared" ca="1" si="2"/>
        <v>0</v>
      </c>
    </row>
    <row r="25" spans="1:20" x14ac:dyDescent="0.25">
      <c r="A25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T25" s="93">
        <f t="shared" si="2"/>
        <v>0</v>
      </c>
    </row>
    <row r="26" spans="1:20" x14ac:dyDescent="0.25">
      <c r="A26" s="59" t="s">
        <v>548</v>
      </c>
      <c r="T26" s="93">
        <f t="shared" si="2"/>
        <v>0</v>
      </c>
    </row>
    <row r="27" spans="1:20" x14ac:dyDescent="0.25">
      <c r="A27"/>
      <c r="B27" t="s">
        <v>566</v>
      </c>
      <c r="F27" s="90">
        <f>SUM(G27:R27)</f>
        <v>10754417110.815203</v>
      </c>
      <c r="G27" s="90">
        <f>'Rate Base'!G76</f>
        <v>6245684259.173522</v>
      </c>
      <c r="H27" s="90">
        <f>'Rate Base'!H76</f>
        <v>1341382223.4004421</v>
      </c>
      <c r="I27" s="90">
        <f>'Rate Base'!I76</f>
        <v>1311277805.7556999</v>
      </c>
      <c r="J27" s="90">
        <f>'Rate Base'!J76</f>
        <v>742981160.49841261</v>
      </c>
      <c r="K27" s="90">
        <f>'Rate Base'!K76</f>
        <v>550887425.01838303</v>
      </c>
      <c r="L27" s="90">
        <f>'Rate Base'!L76</f>
        <v>2923828.3543237499</v>
      </c>
      <c r="M27" s="90">
        <f>'Rate Base'!M76</f>
        <v>70084727.393597484</v>
      </c>
      <c r="N27" s="90">
        <f>'Rate Base'!N76</f>
        <v>72317352.818607792</v>
      </c>
      <c r="O27" s="90">
        <f>'Rate Base'!O76</f>
        <v>187221782.67197728</v>
      </c>
      <c r="P27" s="90">
        <f>'Rate Base'!P76</f>
        <v>115664428.03656586</v>
      </c>
      <c r="Q27" s="90">
        <f>'Rate Base'!Q76</f>
        <v>110555105.84794153</v>
      </c>
      <c r="R27" s="90">
        <f>'Rate Base'!R76</f>
        <v>3437011.8457281594</v>
      </c>
      <c r="T27" s="93">
        <f t="shared" si="2"/>
        <v>0</v>
      </c>
    </row>
    <row r="28" spans="1:20" x14ac:dyDescent="0.25">
      <c r="A28" s="36"/>
      <c r="B28" s="36" t="s">
        <v>567</v>
      </c>
      <c r="C28" s="47"/>
      <c r="D28" s="47"/>
      <c r="E28" s="47"/>
      <c r="F28" s="91">
        <f>SUM(G28:R28)</f>
        <v>-4292153131.7526517</v>
      </c>
      <c r="G28" s="91">
        <f>'Rate Base'!G129</f>
        <v>-2506631969.0397067</v>
      </c>
      <c r="H28" s="91">
        <f>'Rate Base'!H129</f>
        <v>-531209681.66558802</v>
      </c>
      <c r="I28" s="91">
        <f>'Rate Base'!I129</f>
        <v>-524533301.70383251</v>
      </c>
      <c r="J28" s="91">
        <f>'Rate Base'!J129</f>
        <v>-301198742.73174953</v>
      </c>
      <c r="K28" s="91">
        <f>'Rate Base'!K129</f>
        <v>-218355319.34332165</v>
      </c>
      <c r="L28" s="91">
        <f>'Rate Base'!L129</f>
        <v>-1105518.8099380562</v>
      </c>
      <c r="M28" s="91">
        <f>'Rate Base'!M129</f>
        <v>-26326446.235367674</v>
      </c>
      <c r="N28" s="91">
        <f>'Rate Base'!N129</f>
        <v>-25882347.128794711</v>
      </c>
      <c r="O28" s="91">
        <f>'Rate Base'!O129</f>
        <v>-77996376.07056351</v>
      </c>
      <c r="P28" s="91">
        <f>'Rate Base'!P129</f>
        <v>-35587123.837872952</v>
      </c>
      <c r="Q28" s="91">
        <f>'Rate Base'!Q129</f>
        <v>-41982646.810771793</v>
      </c>
      <c r="R28" s="91">
        <f>'Rate Base'!R129</f>
        <v>-1343658.3751444723</v>
      </c>
      <c r="T28" s="93">
        <f t="shared" si="2"/>
        <v>0</v>
      </c>
    </row>
    <row r="29" spans="1:20" x14ac:dyDescent="0.25">
      <c r="A29"/>
      <c r="B29" t="s">
        <v>568</v>
      </c>
      <c r="F29" s="90">
        <f>F27+F28</f>
        <v>6462263979.0625515</v>
      </c>
      <c r="G29" s="90">
        <f t="shared" ref="G29:R29" si="9">G27+G28</f>
        <v>3739052290.1338153</v>
      </c>
      <c r="H29" s="90">
        <f t="shared" si="9"/>
        <v>810172541.7348541</v>
      </c>
      <c r="I29" s="90">
        <f t="shared" si="9"/>
        <v>786744504.05186737</v>
      </c>
      <c r="J29" s="90">
        <f t="shared" si="9"/>
        <v>441782417.76666307</v>
      </c>
      <c r="K29" s="90">
        <f t="shared" si="9"/>
        <v>332532105.67506135</v>
      </c>
      <c r="L29" s="90">
        <f t="shared" si="9"/>
        <v>1818309.5443856937</v>
      </c>
      <c r="M29" s="90">
        <f t="shared" si="9"/>
        <v>43758281.158229813</v>
      </c>
      <c r="N29" s="90">
        <f t="shared" si="9"/>
        <v>46435005.689813077</v>
      </c>
      <c r="O29" s="90">
        <f t="shared" si="9"/>
        <v>109225406.60141377</v>
      </c>
      <c r="P29" s="90">
        <f t="shared" si="9"/>
        <v>80077304.198692903</v>
      </c>
      <c r="Q29" s="90">
        <f t="shared" si="9"/>
        <v>68572459.03716974</v>
      </c>
      <c r="R29" s="90">
        <f t="shared" si="9"/>
        <v>2093353.4705836871</v>
      </c>
      <c r="T29" s="93">
        <f t="shared" si="2"/>
        <v>0</v>
      </c>
    </row>
    <row r="30" spans="1:20" x14ac:dyDescent="0.25">
      <c r="A30"/>
      <c r="B3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T30" s="93">
        <f t="shared" si="2"/>
        <v>0</v>
      </c>
    </row>
    <row r="31" spans="1:20" x14ac:dyDescent="0.25">
      <c r="A31"/>
      <c r="B31" t="s">
        <v>290</v>
      </c>
      <c r="F31" s="90">
        <f t="shared" ref="F31:F32" si="10">SUM(G31:R31)</f>
        <v>137375215.95577016</v>
      </c>
      <c r="G31" s="90">
        <f>'Rate Base'!G134</f>
        <v>79781378.670227081</v>
      </c>
      <c r="H31" s="90">
        <f>'Rate Base'!H134</f>
        <v>17134603.458289962</v>
      </c>
      <c r="I31" s="90">
        <f>'Rate Base'!I134</f>
        <v>16750054.409043007</v>
      </c>
      <c r="J31" s="90">
        <f>'Rate Base'!J134</f>
        <v>9490723.3300346974</v>
      </c>
      <c r="K31" s="90">
        <f>'Rate Base'!K134</f>
        <v>7036948.4649347011</v>
      </c>
      <c r="L31" s="90">
        <f>'Rate Base'!L134</f>
        <v>37348.518980995956</v>
      </c>
      <c r="M31" s="90">
        <f>'Rate Base'!M134</f>
        <v>895251.17555784725</v>
      </c>
      <c r="N31" s="90">
        <f>'Rate Base'!N134</f>
        <v>923770.37810957769</v>
      </c>
      <c r="O31" s="90">
        <f>'Rate Base'!O134</f>
        <v>2391541.3137846543</v>
      </c>
      <c r="P31" s="90">
        <f>'Rate Base'!P134</f>
        <v>1477479.0317500927</v>
      </c>
      <c r="Q31" s="90">
        <f>'Rate Base'!Q134</f>
        <v>1412213.3616707711</v>
      </c>
      <c r="R31" s="90">
        <f>'Rate Base'!R134</f>
        <v>43903.843386790089</v>
      </c>
      <c r="T31" s="93">
        <f t="shared" si="2"/>
        <v>0</v>
      </c>
    </row>
    <row r="32" spans="1:20" x14ac:dyDescent="0.25">
      <c r="A32"/>
      <c r="B32" t="s">
        <v>569</v>
      </c>
      <c r="F32" s="90">
        <f t="shared" si="10"/>
        <v>-1171051115.3491797</v>
      </c>
      <c r="G32" s="90">
        <f>'Rate Base'!G158</f>
        <v>-686339582.28256583</v>
      </c>
      <c r="H32" s="90">
        <f>'Rate Base'!H158</f>
        <v>-175490547.62567076</v>
      </c>
      <c r="I32" s="90">
        <f>'Rate Base'!I158</f>
        <v>-128638596.46921775</v>
      </c>
      <c r="J32" s="90">
        <f>'Rate Base'!J158</f>
        <v>-68569155.710658744</v>
      </c>
      <c r="K32" s="90">
        <f>'Rate Base'!K158</f>
        <v>-51680189.256007619</v>
      </c>
      <c r="L32" s="90">
        <f>'Rate Base'!L158</f>
        <v>-319498.03709666542</v>
      </c>
      <c r="M32" s="90">
        <f>'Rate Base'!M158</f>
        <v>-7463678.0803708043</v>
      </c>
      <c r="N32" s="90">
        <f>'Rate Base'!N158</f>
        <v>-9188362.126933109</v>
      </c>
      <c r="O32" s="90">
        <f>'Rate Base'!O158</f>
        <v>-16020182.64362881</v>
      </c>
      <c r="P32" s="90">
        <f>'Rate Base'!P158</f>
        <v>-14672395.906600755</v>
      </c>
      <c r="Q32" s="90">
        <f>'Rate Base'!Q158</f>
        <v>-12328001.410272773</v>
      </c>
      <c r="R32" s="90">
        <f>'Rate Base'!R158</f>
        <v>-340925.80015578523</v>
      </c>
      <c r="T32" s="93">
        <f t="shared" si="2"/>
        <v>0</v>
      </c>
    </row>
    <row r="33" spans="1:20" ht="15.75" thickBot="1" x14ac:dyDescent="0.3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3">
        <f t="shared" si="2"/>
        <v>0</v>
      </c>
    </row>
    <row r="34" spans="1:20" ht="15.75" thickTop="1" x14ac:dyDescent="0.25">
      <c r="A34" s="59" t="s">
        <v>312</v>
      </c>
      <c r="F34" s="93">
        <f>F29+F31+F32</f>
        <v>5428588079.6691418</v>
      </c>
      <c r="G34" s="93">
        <f t="shared" ref="G34:R34" si="11">G29+G31+G32</f>
        <v>3132494086.5214767</v>
      </c>
      <c r="H34" s="93">
        <f t="shared" si="11"/>
        <v>651816597.56747329</v>
      </c>
      <c r="I34" s="93">
        <f t="shared" si="11"/>
        <v>674855961.99169254</v>
      </c>
      <c r="J34" s="93">
        <f t="shared" si="11"/>
        <v>382703985.38603902</v>
      </c>
      <c r="K34" s="93">
        <f t="shared" si="11"/>
        <v>287888864.88398844</v>
      </c>
      <c r="L34" s="93">
        <f t="shared" si="11"/>
        <v>1536160.0262700242</v>
      </c>
      <c r="M34" s="93">
        <f t="shared" si="11"/>
        <v>37189854.253416851</v>
      </c>
      <c r="N34" s="93">
        <f t="shared" si="11"/>
        <v>38170413.940989539</v>
      </c>
      <c r="O34" s="93">
        <f t="shared" si="11"/>
        <v>95596765.271569625</v>
      </c>
      <c r="P34" s="93">
        <f t="shared" si="11"/>
        <v>66882387.323842242</v>
      </c>
      <c r="Q34" s="93">
        <f t="shared" si="11"/>
        <v>57656670.98856774</v>
      </c>
      <c r="R34" s="93">
        <f t="shared" si="11"/>
        <v>1796331.5138146922</v>
      </c>
      <c r="T34" s="93">
        <f t="shared" si="2"/>
        <v>0</v>
      </c>
    </row>
    <row r="35" spans="1:20" x14ac:dyDescent="0.25">
      <c r="A35"/>
      <c r="T35" s="93">
        <f t="shared" si="2"/>
        <v>0</v>
      </c>
    </row>
    <row r="36" spans="1:20" x14ac:dyDescent="0.25">
      <c r="A36" t="s">
        <v>549</v>
      </c>
      <c r="F36" s="94">
        <f ca="1">F24/F34</f>
        <v>6.2325413346856172E-2</v>
      </c>
      <c r="G36" s="94">
        <f t="shared" ref="G36:R36" ca="1" si="12">G24/G34</f>
        <v>5.045387012400588E-2</v>
      </c>
      <c r="H36" s="94">
        <f t="shared" ca="1" si="12"/>
        <v>8.0947995793568511E-2</v>
      </c>
      <c r="I36" s="94">
        <f t="shared" ca="1" si="12"/>
        <v>8.5453719979539614E-2</v>
      </c>
      <c r="J36" s="94">
        <f t="shared" ca="1" si="12"/>
        <v>8.4167913643854467E-2</v>
      </c>
      <c r="K36" s="94">
        <f t="shared" ca="1" si="12"/>
        <v>7.0290237190686444E-2</v>
      </c>
      <c r="L36" s="94">
        <f t="shared" ref="L36:M36" ca="1" si="13">L24/L34</f>
        <v>-7.7397115344034803E-2</v>
      </c>
      <c r="M36" s="94">
        <f t="shared" ca="1" si="13"/>
        <v>2.4675273299449439E-2</v>
      </c>
      <c r="N36" s="94">
        <f t="shared" ca="1" si="12"/>
        <v>7.1356906234483916E-2</v>
      </c>
      <c r="O36" s="94">
        <f t="shared" ca="1" si="12"/>
        <v>8.3874789927727164E-2</v>
      </c>
      <c r="P36" s="94">
        <f t="shared" ca="1" si="12"/>
        <v>5.1765296130825998E-2</v>
      </c>
      <c r="Q36" s="94">
        <f t="shared" ca="1" si="12"/>
        <v>4.5425080769308991E-2</v>
      </c>
      <c r="R36" s="94">
        <f t="shared" ca="1" si="12"/>
        <v>-0.11619697057985032</v>
      </c>
      <c r="T36" s="93">
        <f t="shared" ca="1" si="2"/>
        <v>-0.3924915838227091</v>
      </c>
    </row>
    <row r="37" spans="1:20" x14ac:dyDescent="0.25">
      <c r="A37" t="s">
        <v>550</v>
      </c>
      <c r="F37" s="94">
        <f ca="1">F36/$F36</f>
        <v>1</v>
      </c>
      <c r="G37" s="94">
        <f t="shared" ref="G37:R37" ca="1" si="14">G36/$F36</f>
        <v>0.80952323321496078</v>
      </c>
      <c r="H37" s="94">
        <f t="shared" ca="1" si="14"/>
        <v>1.2987959717663342</v>
      </c>
      <c r="I37" s="94">
        <f t="shared" ca="1" si="14"/>
        <v>1.3710895025110985</v>
      </c>
      <c r="J37" s="94">
        <f t="shared" ca="1" si="14"/>
        <v>1.3504589720960123</v>
      </c>
      <c r="K37" s="94">
        <f t="shared" ca="1" si="14"/>
        <v>1.1277941599761894</v>
      </c>
      <c r="L37" s="94">
        <f t="shared" ref="L37:M37" ca="1" si="15">L36/$F36</f>
        <v>-1.2418227363098409</v>
      </c>
      <c r="M37" s="94">
        <f t="shared" ca="1" si="15"/>
        <v>0.39591030326787413</v>
      </c>
      <c r="N37" s="94">
        <f t="shared" ca="1" si="14"/>
        <v>1.1449086721232842</v>
      </c>
      <c r="O37" s="94">
        <f t="shared" ca="1" si="14"/>
        <v>1.3457558550144455</v>
      </c>
      <c r="P37" s="94">
        <f t="shared" ca="1" si="14"/>
        <v>0.83056482662600983</v>
      </c>
      <c r="Q37" s="94">
        <f t="shared" ca="1" si="14"/>
        <v>0.7288372163134692</v>
      </c>
      <c r="R37" s="94">
        <f t="shared" ca="1" si="14"/>
        <v>-1.8643594055796429</v>
      </c>
      <c r="T37" s="93">
        <f t="shared" ca="1" si="2"/>
        <v>-6.2974565710201933</v>
      </c>
    </row>
    <row r="38" spans="1:20" x14ac:dyDescent="0.25">
      <c r="A38"/>
      <c r="T38" s="93">
        <f t="shared" si="2"/>
        <v>0</v>
      </c>
    </row>
    <row r="39" spans="1:20" x14ac:dyDescent="0.25">
      <c r="A39" s="19"/>
      <c r="T39" s="93">
        <f t="shared" si="2"/>
        <v>0</v>
      </c>
    </row>
    <row r="40" spans="1:20" x14ac:dyDescent="0.25">
      <c r="A40" s="20" t="s">
        <v>551</v>
      </c>
      <c r="T40" s="93">
        <f t="shared" si="2"/>
        <v>0</v>
      </c>
    </row>
    <row r="41" spans="1:20" x14ac:dyDescent="0.25">
      <c r="A41" s="16" t="s">
        <v>552</v>
      </c>
      <c r="F41" s="94">
        <v>7.6200000000000004E-2</v>
      </c>
      <c r="G41" s="94">
        <v>7.6200000000000004E-2</v>
      </c>
      <c r="H41" s="94">
        <v>7.6200000000000004E-2</v>
      </c>
      <c r="I41" s="94">
        <v>7.6200000000000004E-2</v>
      </c>
      <c r="J41" s="94">
        <v>7.6200000000000004E-2</v>
      </c>
      <c r="K41" s="94">
        <v>7.6200000000000004E-2</v>
      </c>
      <c r="L41" s="94">
        <v>7.6200000000000004E-2</v>
      </c>
      <c r="M41" s="94">
        <v>7.6200000000000004E-2</v>
      </c>
      <c r="N41" s="94">
        <v>7.6200000000000004E-2</v>
      </c>
      <c r="O41" s="94">
        <v>7.6200000000000004E-2</v>
      </c>
      <c r="P41" s="94">
        <v>7.6200000000000004E-2</v>
      </c>
      <c r="Q41" s="94">
        <v>7.6200000000000004E-2</v>
      </c>
      <c r="R41" s="94">
        <v>7.6200000000000004E-2</v>
      </c>
      <c r="T41" s="93">
        <f t="shared" si="2"/>
        <v>-0.83820000000000017</v>
      </c>
    </row>
    <row r="42" spans="1:20" x14ac:dyDescent="0.25">
      <c r="A42" s="19" t="s">
        <v>553</v>
      </c>
      <c r="F42" s="90">
        <f>F34*F41</f>
        <v>413658411.67078865</v>
      </c>
      <c r="G42" s="90">
        <f>G34*G41</f>
        <v>238696049.39293653</v>
      </c>
      <c r="H42" s="90">
        <f t="shared" ref="H42:R42" si="16">H34*H41</f>
        <v>49668424.73464147</v>
      </c>
      <c r="I42" s="90">
        <f t="shared" si="16"/>
        <v>51424024.303766973</v>
      </c>
      <c r="J42" s="90">
        <f t="shared" si="16"/>
        <v>29162043.686416175</v>
      </c>
      <c r="K42" s="90">
        <f t="shared" si="16"/>
        <v>21937131.50415992</v>
      </c>
      <c r="L42" s="90">
        <f t="shared" ref="L42:M42" si="17">L34*L41</f>
        <v>117055.39400177586</v>
      </c>
      <c r="M42" s="90">
        <f t="shared" si="17"/>
        <v>2833866.8941103644</v>
      </c>
      <c r="N42" s="90">
        <f t="shared" si="16"/>
        <v>2908585.5423034029</v>
      </c>
      <c r="O42" s="90">
        <f t="shared" si="16"/>
        <v>7284473.5136936055</v>
      </c>
      <c r="P42" s="90">
        <f t="shared" si="16"/>
        <v>5096437.914076779</v>
      </c>
      <c r="Q42" s="90">
        <f t="shared" si="16"/>
        <v>4393438.329328862</v>
      </c>
      <c r="R42" s="90">
        <f t="shared" si="16"/>
        <v>136880.46135267956</v>
      </c>
      <c r="T42" s="93">
        <f t="shared" si="2"/>
        <v>0</v>
      </c>
    </row>
    <row r="43" spans="1:20" x14ac:dyDescent="0.25">
      <c r="A43" s="19" t="s">
        <v>554</v>
      </c>
      <c r="F43" s="93">
        <f t="shared" ref="F43:R43" ca="1" si="18">F42-F24</f>
        <v>75319415.715593219</v>
      </c>
      <c r="G43" s="93">
        <f t="shared" ca="1" si="18"/>
        <v>80649599.587365508</v>
      </c>
      <c r="H43" s="93">
        <f t="shared" ca="1" si="18"/>
        <v>-3094822.4634284973</v>
      </c>
      <c r="I43" s="93">
        <f t="shared" ca="1" si="18"/>
        <v>-6244928.0987939462</v>
      </c>
      <c r="J43" s="93">
        <f t="shared" ca="1" si="18"/>
        <v>-3049352.3067148998</v>
      </c>
      <c r="K43" s="93">
        <f t="shared" ca="1" si="18"/>
        <v>1701354.9069068916</v>
      </c>
      <c r="L43" s="93">
        <f t="shared" ref="L43:M43" ca="1" si="19">L42-L24</f>
        <v>235949.74874189246</v>
      </c>
      <c r="M43" s="93">
        <f t="shared" ca="1" si="19"/>
        <v>1916197.0764406114</v>
      </c>
      <c r="N43" s="93">
        <f t="shared" ca="1" si="18"/>
        <v>184862.89378477447</v>
      </c>
      <c r="O43" s="93">
        <f t="shared" ca="1" si="18"/>
        <v>-733685.0912295403</v>
      </c>
      <c r="P43" s="93">
        <f t="shared" ca="1" si="18"/>
        <v>1634251.3283214825</v>
      </c>
      <c r="Q43" s="93">
        <f t="shared" ca="1" si="18"/>
        <v>1774379.3927836982</v>
      </c>
      <c r="R43" s="93">
        <f t="shared" ca="1" si="18"/>
        <v>345608.74141506333</v>
      </c>
      <c r="T43" s="93">
        <f t="shared" ca="1" si="2"/>
        <v>1.6391277313232422E-7</v>
      </c>
    </row>
    <row r="44" spans="1:20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T44" s="93">
        <f t="shared" si="2"/>
        <v>0</v>
      </c>
    </row>
    <row r="45" spans="1:20" x14ac:dyDescent="0.25">
      <c r="A45" s="19" t="s">
        <v>555</v>
      </c>
      <c r="T45" s="93">
        <f t="shared" si="2"/>
        <v>0</v>
      </c>
    </row>
    <row r="46" spans="1:20" x14ac:dyDescent="0.25">
      <c r="A46" s="19" t="s">
        <v>556</v>
      </c>
      <c r="C46" s="44" t="str">
        <f>INDEX('Alloc Amt'!B:B,MATCH(Summary!D:D,'Alloc Amt'!D:D,0))</f>
        <v>Direct Assign 904 Uncollectibles</v>
      </c>
      <c r="D46" s="133">
        <v>18</v>
      </c>
      <c r="F46" s="90">
        <v>849946</v>
      </c>
      <c r="G46" s="39">
        <f t="shared" ref="G46:R49" si="20">INDEX(Alloc,($D46),(G$1))*$F46</f>
        <v>752527.32794627757</v>
      </c>
      <c r="H46" s="39">
        <f t="shared" si="20"/>
        <v>54130.745403915935</v>
      </c>
      <c r="I46" s="39">
        <f t="shared" si="20"/>
        <v>8752.0748021634117</v>
      </c>
      <c r="J46" s="39">
        <f t="shared" si="20"/>
        <v>13664.332028457378</v>
      </c>
      <c r="K46" s="39">
        <f t="shared" si="20"/>
        <v>18706.082707951547</v>
      </c>
      <c r="L46" s="39">
        <f t="shared" si="20"/>
        <v>0</v>
      </c>
      <c r="M46" s="39">
        <f t="shared" si="20"/>
        <v>0</v>
      </c>
      <c r="N46" s="39">
        <f t="shared" si="20"/>
        <v>0</v>
      </c>
      <c r="O46" s="39">
        <f t="shared" si="20"/>
        <v>0</v>
      </c>
      <c r="P46" s="39">
        <f t="shared" si="20"/>
        <v>0</v>
      </c>
      <c r="Q46" s="39">
        <f t="shared" si="20"/>
        <v>2165.4371112341328</v>
      </c>
      <c r="R46" s="39">
        <f t="shared" si="20"/>
        <v>0</v>
      </c>
      <c r="T46" s="93">
        <f t="shared" si="2"/>
        <v>0</v>
      </c>
    </row>
    <row r="47" spans="1:20" x14ac:dyDescent="0.25">
      <c r="A47" s="19" t="s">
        <v>557</v>
      </c>
      <c r="C47" s="44" t="str">
        <f>INDEX('Alloc Amt'!B:B,MATCH(Summary!D:D,'Alloc Amt'!D:D,0))</f>
        <v>Prod Trans Dist Exp Allocation Factor</v>
      </c>
      <c r="D47" s="133">
        <v>83</v>
      </c>
      <c r="F47" s="90">
        <v>200483</v>
      </c>
      <c r="G47" s="39">
        <f t="shared" si="20"/>
        <v>107602.34669337011</v>
      </c>
      <c r="H47" s="39">
        <f t="shared" si="20"/>
        <v>26425.179368577137</v>
      </c>
      <c r="I47" s="39">
        <f t="shared" si="20"/>
        <v>28419.923240624208</v>
      </c>
      <c r="J47" s="39">
        <f t="shared" si="20"/>
        <v>17579.307633116881</v>
      </c>
      <c r="K47" s="39">
        <f t="shared" si="20"/>
        <v>12523.93696559455</v>
      </c>
      <c r="L47" s="39">
        <f t="shared" si="20"/>
        <v>44.720880237703476</v>
      </c>
      <c r="M47" s="39">
        <f t="shared" si="20"/>
        <v>1139.643366337305</v>
      </c>
      <c r="N47" s="39">
        <f t="shared" si="20"/>
        <v>171.51775049516914</v>
      </c>
      <c r="O47" s="39">
        <f t="shared" si="20"/>
        <v>5052.8578430577945</v>
      </c>
      <c r="P47" s="39">
        <f t="shared" si="20"/>
        <v>352.61694023518936</v>
      </c>
      <c r="Q47" s="39">
        <f t="shared" si="20"/>
        <v>1101.0656444092178</v>
      </c>
      <c r="R47" s="39">
        <f t="shared" si="20"/>
        <v>69.883673944746533</v>
      </c>
      <c r="T47" s="93">
        <f t="shared" si="2"/>
        <v>0</v>
      </c>
    </row>
    <row r="48" spans="1:20" x14ac:dyDescent="0.25">
      <c r="A48" s="19" t="s">
        <v>558</v>
      </c>
      <c r="C48" s="44" t="str">
        <f>INDEX('Alloc Amt'!B:B,MATCH(Summary!D:D,'Alloc Amt'!D:D,0))</f>
        <v>REVFAC1 = (OME.T+DAE.T+RRB.T)</v>
      </c>
      <c r="D48" s="133">
        <v>77</v>
      </c>
      <c r="F48" s="90">
        <v>3849868</v>
      </c>
      <c r="G48" s="39">
        <f t="shared" ca="1" si="20"/>
        <v>2199531.9468525397</v>
      </c>
      <c r="H48" s="39">
        <f t="shared" ca="1" si="20"/>
        <v>486109.13253124367</v>
      </c>
      <c r="I48" s="39">
        <f t="shared" ca="1" si="20"/>
        <v>488837.58056554146</v>
      </c>
      <c r="J48" s="39">
        <f t="shared" ca="1" si="20"/>
        <v>290727.64425764565</v>
      </c>
      <c r="K48" s="39">
        <f t="shared" ca="1" si="20"/>
        <v>213145.28570832498</v>
      </c>
      <c r="L48" s="39">
        <f t="shared" ca="1" si="20"/>
        <v>930.09426926598292</v>
      </c>
      <c r="M48" s="39">
        <f t="shared" ca="1" si="20"/>
        <v>23162.215778235251</v>
      </c>
      <c r="N48" s="39">
        <f t="shared" ca="1" si="20"/>
        <v>11997.167311387926</v>
      </c>
      <c r="O48" s="39">
        <f t="shared" ca="1" si="20"/>
        <v>78485.110586804425</v>
      </c>
      <c r="P48" s="39">
        <f t="shared" ca="1" si="20"/>
        <v>22722.379124167597</v>
      </c>
      <c r="Q48" s="39">
        <f t="shared" ca="1" si="20"/>
        <v>32973.41772329907</v>
      </c>
      <c r="R48" s="39">
        <f t="shared" ca="1" si="20"/>
        <v>1246.0252915445647</v>
      </c>
      <c r="T48" s="93">
        <f t="shared" ca="1" si="2"/>
        <v>0</v>
      </c>
    </row>
    <row r="49" spans="1:20" s="128" customFormat="1" x14ac:dyDescent="0.25">
      <c r="A49" s="71" t="s">
        <v>577</v>
      </c>
      <c r="C49" t="str">
        <f>INDEX('Alloc Amt'!B:B,MATCH(Summary!D:D,'Alloc Amt'!D:D,0))</f>
        <v>Total Ratebase</v>
      </c>
      <c r="D49" s="134">
        <v>76</v>
      </c>
      <c r="F49" s="129">
        <v>20021598</v>
      </c>
      <c r="G49" s="65">
        <f t="shared" si="20"/>
        <v>11553195.125008032</v>
      </c>
      <c r="H49" s="65">
        <f t="shared" si="20"/>
        <v>2404015.4999233466</v>
      </c>
      <c r="I49" s="65">
        <f t="shared" si="20"/>
        <v>2488988.7721457873</v>
      </c>
      <c r="J49" s="65">
        <f t="shared" si="20"/>
        <v>1411480.3399973849</v>
      </c>
      <c r="K49" s="65">
        <f t="shared" si="20"/>
        <v>1061785.3181696623</v>
      </c>
      <c r="L49" s="65">
        <f t="shared" si="20"/>
        <v>5665.6312945966602</v>
      </c>
      <c r="M49" s="65">
        <f t="shared" si="20"/>
        <v>137162.79456331194</v>
      </c>
      <c r="N49" s="65">
        <f t="shared" si="20"/>
        <v>140779.27302722642</v>
      </c>
      <c r="O49" s="65">
        <f t="shared" si="20"/>
        <v>352577.86670827703</v>
      </c>
      <c r="P49" s="65">
        <f t="shared" si="20"/>
        <v>246674.13563636603</v>
      </c>
      <c r="Q49" s="65">
        <f t="shared" si="20"/>
        <v>212648.05352881417</v>
      </c>
      <c r="R49" s="65">
        <f t="shared" si="20"/>
        <v>6625.1899971974335</v>
      </c>
      <c r="T49" s="130">
        <f t="shared" si="2"/>
        <v>0</v>
      </c>
    </row>
    <row r="50" spans="1:20" x14ac:dyDescent="0.25">
      <c r="A50" s="19"/>
      <c r="T50" s="93">
        <f t="shared" si="2"/>
        <v>0</v>
      </c>
    </row>
    <row r="51" spans="1:20" s="102" customFormat="1" ht="15.75" thickBot="1" x14ac:dyDescent="0.3">
      <c r="A51" s="28" t="s">
        <v>559</v>
      </c>
      <c r="B51" s="100"/>
      <c r="C51" s="100"/>
      <c r="D51" s="101"/>
      <c r="E51" s="100"/>
      <c r="F51" s="101">
        <f t="shared" ref="F51:R51" ca="1" si="21">SUM(F43,F46:F49)</f>
        <v>100241310.71559322</v>
      </c>
      <c r="G51" s="101">
        <f t="shared" ca="1" si="21"/>
        <v>95262456.333865717</v>
      </c>
      <c r="H51" s="101">
        <f t="shared" ca="1" si="21"/>
        <v>-124141.90620141383</v>
      </c>
      <c r="I51" s="101">
        <f t="shared" ca="1" si="21"/>
        <v>-3229929.7480398305</v>
      </c>
      <c r="J51" s="101">
        <f t="shared" ca="1" si="21"/>
        <v>-1315900.682798295</v>
      </c>
      <c r="K51" s="101">
        <f t="shared" ca="1" si="21"/>
        <v>3007515.5304584252</v>
      </c>
      <c r="L51" s="101">
        <f t="shared" ref="L51:M51" ca="1" si="22">SUM(L43,L46:L49)</f>
        <v>242590.19518599278</v>
      </c>
      <c r="M51" s="101">
        <f t="shared" ca="1" si="22"/>
        <v>2077661.7301484959</v>
      </c>
      <c r="N51" s="101">
        <f t="shared" ca="1" si="21"/>
        <v>337810.85187388398</v>
      </c>
      <c r="O51" s="101">
        <f t="shared" ca="1" si="21"/>
        <v>-297569.25609140098</v>
      </c>
      <c r="P51" s="101">
        <f t="shared" ca="1" si="21"/>
        <v>1904000.4600222514</v>
      </c>
      <c r="Q51" s="101">
        <f t="shared" ca="1" si="21"/>
        <v>2023267.3667914546</v>
      </c>
      <c r="R51" s="101">
        <f t="shared" ca="1" si="21"/>
        <v>353549.84037775005</v>
      </c>
      <c r="T51" s="93">
        <f t="shared" ca="1" si="2"/>
        <v>1.7881393432617188E-7</v>
      </c>
    </row>
    <row r="52" spans="1:20" ht="15.75" thickTop="1" x14ac:dyDescent="0.25">
      <c r="A52" s="19"/>
      <c r="T52" s="93">
        <f t="shared" si="2"/>
        <v>0</v>
      </c>
    </row>
    <row r="53" spans="1:20" x14ac:dyDescent="0.25">
      <c r="A53" s="19" t="s">
        <v>560</v>
      </c>
      <c r="F53" s="93">
        <f t="shared" ref="F53:R53" ca="1" si="23">F11+F51</f>
        <v>2179544361.6626377</v>
      </c>
      <c r="G53" s="93">
        <f t="shared" ca="1" si="23"/>
        <v>1245933372.7692583</v>
      </c>
      <c r="H53" s="93">
        <f t="shared" ca="1" si="23"/>
        <v>274903603.46783048</v>
      </c>
      <c r="I53" s="93">
        <f t="shared" ca="1" si="23"/>
        <v>276446081.66049188</v>
      </c>
      <c r="J53" s="93">
        <f t="shared" ca="1" si="23"/>
        <v>164288055.16191438</v>
      </c>
      <c r="K53" s="93">
        <f t="shared" ca="1" si="23"/>
        <v>120505066.21517034</v>
      </c>
      <c r="L53" s="93">
        <f t="shared" ref="L53:M53" ca="1" si="24">L11+L51</f>
        <v>527754.81013108685</v>
      </c>
      <c r="M53" s="93">
        <f t="shared" ca="1" si="24"/>
        <v>13134928.711593701</v>
      </c>
      <c r="N53" s="93">
        <f t="shared" ca="1" si="23"/>
        <v>6942176.7593977256</v>
      </c>
      <c r="O53" s="93">
        <f t="shared" ca="1" si="23"/>
        <v>44292579.757266335</v>
      </c>
      <c r="P53" s="93">
        <f t="shared" ca="1" si="23"/>
        <v>13098445.157315638</v>
      </c>
      <c r="Q53" s="93">
        <f t="shared" ca="1" si="23"/>
        <v>18767175.886832852</v>
      </c>
      <c r="R53" s="93">
        <f t="shared" ca="1" si="23"/>
        <v>705121.30543506518</v>
      </c>
      <c r="T53" s="93">
        <f t="shared" ca="1" si="2"/>
        <v>0</v>
      </c>
    </row>
    <row r="54" spans="1:20" x14ac:dyDescent="0.25">
      <c r="A54" s="19" t="s">
        <v>561</v>
      </c>
      <c r="F54" s="93">
        <f t="shared" ref="F54:R54" si="25">SUM(F9:F10)</f>
        <v>82300667.005812615</v>
      </c>
      <c r="G54" s="93">
        <f t="shared" si="25"/>
        <v>44774403.145353243</v>
      </c>
      <c r="H54" s="93">
        <f t="shared" si="25"/>
        <v>11637354.159992099</v>
      </c>
      <c r="I54" s="93">
        <f t="shared" si="25"/>
        <v>8972754.1885492355</v>
      </c>
      <c r="J54" s="93">
        <f t="shared" si="25"/>
        <v>5323116.7144630989</v>
      </c>
      <c r="K54" s="93">
        <f t="shared" si="25"/>
        <v>4242331.5926769469</v>
      </c>
      <c r="L54" s="93">
        <f t="shared" ref="L54:M54" si="26">SUM(L9:L10)</f>
        <v>17150.614727296961</v>
      </c>
      <c r="M54" s="93">
        <f t="shared" si="26"/>
        <v>370120.97276047431</v>
      </c>
      <c r="N54" s="93">
        <f t="shared" si="25"/>
        <v>1110812.9075238416</v>
      </c>
      <c r="O54" s="93">
        <f t="shared" si="25"/>
        <v>4461904.9807481905</v>
      </c>
      <c r="P54" s="93">
        <f t="shared" si="25"/>
        <v>1077072.9172933849</v>
      </c>
      <c r="Q54" s="93">
        <f t="shared" si="25"/>
        <v>286414.50666749151</v>
      </c>
      <c r="R54" s="93">
        <f t="shared" si="25"/>
        <v>27230.305057314999</v>
      </c>
      <c r="T54" s="93">
        <f t="shared" si="2"/>
        <v>0</v>
      </c>
    </row>
    <row r="55" spans="1:20" x14ac:dyDescent="0.25">
      <c r="A55" s="24" t="s">
        <v>562</v>
      </c>
      <c r="B55" s="54"/>
      <c r="C55" s="54"/>
      <c r="D55" s="103"/>
      <c r="E55" s="54"/>
      <c r="F55" s="103">
        <f ca="1">F53-F54</f>
        <v>2097243694.6568251</v>
      </c>
      <c r="G55" s="103">
        <f t="shared" ref="G55:R55" ca="1" si="27">G53-G54</f>
        <v>1201158969.6239049</v>
      </c>
      <c r="H55" s="103">
        <f ca="1">H53-H54</f>
        <v>263266249.30783838</v>
      </c>
      <c r="I55" s="103">
        <f t="shared" ca="1" si="27"/>
        <v>267473327.47194266</v>
      </c>
      <c r="J55" s="103">
        <f t="shared" ca="1" si="27"/>
        <v>158964938.44745129</v>
      </c>
      <c r="K55" s="103">
        <f t="shared" ca="1" si="27"/>
        <v>116262734.62249339</v>
      </c>
      <c r="L55" s="103">
        <f t="shared" ref="L55:M55" ca="1" si="28">L53-L54</f>
        <v>510604.19540378987</v>
      </c>
      <c r="M55" s="103">
        <f t="shared" ca="1" si="28"/>
        <v>12764807.738833226</v>
      </c>
      <c r="N55" s="103">
        <f t="shared" ca="1" si="27"/>
        <v>5831363.851873884</v>
      </c>
      <c r="O55" s="103">
        <f t="shared" ca="1" si="27"/>
        <v>39830674.776518144</v>
      </c>
      <c r="P55" s="103">
        <f t="shared" ca="1" si="27"/>
        <v>12021372.240022253</v>
      </c>
      <c r="Q55" s="103">
        <f t="shared" ca="1" si="27"/>
        <v>18480761.380165361</v>
      </c>
      <c r="R55" s="103">
        <f t="shared" ca="1" si="27"/>
        <v>677891.00037775014</v>
      </c>
      <c r="T55" s="93">
        <f t="shared" ca="1" si="2"/>
        <v>0</v>
      </c>
    </row>
    <row r="56" spans="1:20" x14ac:dyDescent="0.25">
      <c r="A56" s="16" t="s">
        <v>578</v>
      </c>
      <c r="F56" s="94">
        <f t="shared" ref="F56:R56" ca="1" si="29" xml:space="preserve"> IF(F8=0,0,(F55/F8)-1)</f>
        <v>5.0195889359811119E-2</v>
      </c>
      <c r="G56" s="94">
        <f t="shared" ca="1" si="29"/>
        <v>8.6140479863219932E-2</v>
      </c>
      <c r="H56" s="94">
        <f t="shared" ca="1" si="29"/>
        <v>-4.7132283614914616E-4</v>
      </c>
      <c r="I56" s="94">
        <f t="shared" ca="1" si="29"/>
        <v>-1.1931624987486233E-2</v>
      </c>
      <c r="J56" s="94">
        <f t="shared" ca="1" si="29"/>
        <v>-8.2099687644442421E-3</v>
      </c>
      <c r="K56" s="94">
        <f t="shared" ca="1" si="29"/>
        <v>2.6555204736431692E-2</v>
      </c>
      <c r="L56" s="94">
        <f t="shared" ref="L56:M56" ca="1" si="30" xml:space="preserve"> IF(L8=0,0,(L55/L8)-1)</f>
        <v>0.90514001130111055</v>
      </c>
      <c r="M56" s="94">
        <f t="shared" ca="1" si="30"/>
        <v>0.19440753672309885</v>
      </c>
      <c r="N56" s="94">
        <f t="shared" ca="1" si="29"/>
        <v>6.1492234965947246E-2</v>
      </c>
      <c r="O56" s="94">
        <f t="shared" ca="1" si="29"/>
        <v>-7.4154567005121352E-3</v>
      </c>
      <c r="P56" s="94">
        <f t="shared" ca="1" si="29"/>
        <v>0.18819121224605739</v>
      </c>
      <c r="Q56" s="94">
        <f t="shared" ca="1" si="29"/>
        <v>0.12293897024342093</v>
      </c>
      <c r="R56" s="94">
        <f t="shared" ca="1" si="29"/>
        <v>1.0900554230543853</v>
      </c>
      <c r="T56" s="93">
        <f t="shared" ca="1" si="2"/>
        <v>-2.5966968104852688</v>
      </c>
    </row>
    <row r="57" spans="1:20" ht="15.75" thickBot="1" x14ac:dyDescent="0.3">
      <c r="A57" s="89"/>
      <c r="D57" s="93"/>
      <c r="T57" s="93">
        <f t="shared" si="2"/>
        <v>0</v>
      </c>
    </row>
    <row r="58" spans="1:20" ht="15.75" thickTop="1" x14ac:dyDescent="0.25">
      <c r="A58" s="19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T58" s="93">
        <f t="shared" si="2"/>
        <v>0</v>
      </c>
    </row>
    <row r="59" spans="1:20" x14ac:dyDescent="0.25">
      <c r="A59" s="24" t="s">
        <v>563</v>
      </c>
      <c r="F59" s="99">
        <f t="shared" ref="F59:R59" ca="1" si="31">F8/F55</f>
        <v>0.95220330809863485</v>
      </c>
      <c r="G59" s="99">
        <f t="shared" ca="1" si="31"/>
        <v>0.92069121678066201</v>
      </c>
      <c r="H59" s="99">
        <f t="shared" ca="1" si="31"/>
        <v>1.0004715450861164</v>
      </c>
      <c r="I59" s="99">
        <f t="shared" ca="1" si="31"/>
        <v>1.0120757078044675</v>
      </c>
      <c r="J59" s="99">
        <f t="shared" ca="1" si="31"/>
        <v>1.0082779303137543</v>
      </c>
      <c r="K59" s="99">
        <f t="shared" ca="1" si="31"/>
        <v>0.97413173240571138</v>
      </c>
      <c r="L59" s="99">
        <f t="shared" ref="L59:M59" ca="1" si="32">L8/L55</f>
        <v>0.52489580506844347</v>
      </c>
      <c r="M59" s="99">
        <f t="shared" ca="1" si="32"/>
        <v>0.83723517246344314</v>
      </c>
      <c r="N59" s="99">
        <f t="shared" ca="1" si="31"/>
        <v>0.94207000961441811</v>
      </c>
      <c r="O59" s="99">
        <f t="shared" ca="1" si="31"/>
        <v>1.0074708565135038</v>
      </c>
      <c r="P59" s="99">
        <f t="shared" ca="1" si="31"/>
        <v>0.84161538117226398</v>
      </c>
      <c r="Q59" s="99">
        <f t="shared" ca="1" si="31"/>
        <v>0.89052034571676564</v>
      </c>
      <c r="R59" s="99">
        <f t="shared" ca="1" si="31"/>
        <v>0.47845621172026642</v>
      </c>
      <c r="T59" s="93">
        <f t="shared" ca="1" si="2"/>
        <v>-9.4857086065611806</v>
      </c>
    </row>
    <row r="60" spans="1:20" x14ac:dyDescent="0.25">
      <c r="A60" s="24" t="s">
        <v>564</v>
      </c>
      <c r="B60" s="54"/>
      <c r="C60" s="54"/>
      <c r="D60" s="54"/>
      <c r="E60" s="54"/>
      <c r="F60" s="104">
        <f ca="1">F59/$F$59</f>
        <v>1</v>
      </c>
      <c r="G60" s="104">
        <f t="shared" ref="G60:R60" ca="1" si="33">G59/$F$59</f>
        <v>0.96690613123273395</v>
      </c>
      <c r="H60" s="104">
        <f t="shared" ca="1" si="33"/>
        <v>1.0506911040708982</v>
      </c>
      <c r="I60" s="104">
        <f t="shared" ca="1" si="33"/>
        <v>1.0628777480571729</v>
      </c>
      <c r="J60" s="104">
        <f t="shared" ca="1" si="33"/>
        <v>1.0588893377477229</v>
      </c>
      <c r="K60" s="104">
        <f t="shared" ca="1" si="33"/>
        <v>1.0230291410674295</v>
      </c>
      <c r="L60" s="104">
        <f t="shared" ref="L60:M60" ca="1" si="34">L59/$F$59</f>
        <v>0.55124341682508804</v>
      </c>
      <c r="M60" s="104">
        <f t="shared" ca="1" si="34"/>
        <v>0.87926093654856041</v>
      </c>
      <c r="N60" s="104">
        <f t="shared" ca="1" si="33"/>
        <v>0.98935805158621959</v>
      </c>
      <c r="O60" s="104">
        <f t="shared" ca="1" si="33"/>
        <v>1.0580417521602896</v>
      </c>
      <c r="P60" s="104">
        <f t="shared" ca="1" si="33"/>
        <v>0.8838610137291022</v>
      </c>
      <c r="Q60" s="104">
        <f t="shared" ca="1" si="33"/>
        <v>0.93522080646302508</v>
      </c>
      <c r="R60" s="104">
        <f t="shared" ca="1" si="33"/>
        <v>0.50247274678729126</v>
      </c>
      <c r="T60" s="93">
        <f t="shared" ca="1" si="2"/>
        <v>-9.961852186275534</v>
      </c>
    </row>
    <row r="61" spans="1:20" x14ac:dyDescent="0.25">
      <c r="A61" s="20"/>
    </row>
    <row r="62" spans="1:20" x14ac:dyDescent="0.25">
      <c r="A62" s="19"/>
    </row>
    <row r="66" spans="1:20" x14ac:dyDescent="0.25">
      <c r="A66" s="102"/>
    </row>
    <row r="67" spans="1:20" x14ac:dyDescent="0.25">
      <c r="F67" s="123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T67" s="93"/>
    </row>
    <row r="68" spans="1:20" x14ac:dyDescent="0.25">
      <c r="F68" s="123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T68" s="93"/>
    </row>
    <row r="69" spans="1:20" x14ac:dyDescent="0.25">
      <c r="F69" s="123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T69" s="93"/>
    </row>
    <row r="70" spans="1:20" s="124" customFormat="1" x14ac:dyDescent="0.25">
      <c r="F70" s="125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T70" s="127"/>
    </row>
    <row r="71" spans="1:20" x14ac:dyDescent="0.25"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T71" s="93"/>
    </row>
  </sheetData>
  <pageMargins left="0.7" right="0.7" top="0.75" bottom="0.75" header="0.3" footer="0.3"/>
  <pageSetup scale="45" fitToHeight="0" orientation="landscape" r:id="rId1"/>
  <headerFooter>
    <oddHeader>&amp;C&amp;18
PUGET SOUND ENERGY
PEAK CREDIT REPLICATION SUMMARY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6E4F-C6D1-4715-AC89-DA9BA4A82A91}">
  <dimension ref="A1:T179"/>
  <sheetViews>
    <sheetView topLeftCell="A10" zoomScale="85" zoomScaleNormal="85" workbookViewId="0">
      <selection activeCell="L13" sqref="L13"/>
    </sheetView>
  </sheetViews>
  <sheetFormatPr defaultRowHeight="15" x14ac:dyDescent="0.25"/>
  <cols>
    <col min="1" max="1" width="11.5703125" style="19" bestFit="1" customWidth="1"/>
    <col min="2" max="2" width="55.42578125" style="19" bestFit="1" customWidth="1"/>
    <col min="3" max="3" width="18.140625" style="19" bestFit="1" customWidth="1"/>
    <col min="4" max="4" width="10.5703125" style="19" customWidth="1"/>
    <col min="5" max="5" width="15.5703125" style="19" bestFit="1" customWidth="1"/>
    <col min="6" max="6" width="16.140625" style="19" bestFit="1" customWidth="1"/>
    <col min="7" max="7" width="16.42578125" bestFit="1" customWidth="1"/>
    <col min="8" max="8" width="14.42578125" bestFit="1" customWidth="1"/>
    <col min="9" max="9" width="16" bestFit="1" customWidth="1"/>
    <col min="10" max="11" width="13.7109375" bestFit="1" customWidth="1"/>
    <col min="12" max="13" width="13.7109375" customWidth="1"/>
    <col min="14" max="14" width="13.140625" bestFit="1" customWidth="1"/>
    <col min="15" max="16" width="13.5703125" bestFit="1" customWidth="1"/>
    <col min="17" max="17" width="13.42578125" bestFit="1" customWidth="1"/>
    <col min="18" max="18" width="11.42578125" customWidth="1"/>
  </cols>
  <sheetData>
    <row r="1" spans="1:20" x14ac:dyDescent="0.25">
      <c r="C1" s="19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R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51.75" x14ac:dyDescent="0.25">
      <c r="D7" s="140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138" t="s">
        <v>579</v>
      </c>
      <c r="L7" s="138" t="s">
        <v>580</v>
      </c>
      <c r="M7" s="138" t="s">
        <v>581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x14ac:dyDescent="0.25">
      <c r="A8" s="34"/>
      <c r="B8" s="35" t="s">
        <v>180</v>
      </c>
      <c r="C8" s="34" t="s">
        <v>181</v>
      </c>
      <c r="D8" s="34" t="s">
        <v>321</v>
      </c>
      <c r="E8" s="34"/>
      <c r="F8" s="34" t="s">
        <v>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0" x14ac:dyDescent="0.25">
      <c r="A9" s="16"/>
      <c r="B9" s="20" t="s">
        <v>182</v>
      </c>
      <c r="C9" s="21"/>
      <c r="D9" s="21"/>
      <c r="E9" s="21"/>
      <c r="F9" s="21"/>
    </row>
    <row r="10" spans="1:20" x14ac:dyDescent="0.25">
      <c r="A10" s="16"/>
      <c r="B10" s="16"/>
      <c r="C10" s="21"/>
      <c r="D10" s="21"/>
      <c r="E10" s="21"/>
      <c r="F10" s="21"/>
    </row>
    <row r="11" spans="1:20" x14ac:dyDescent="0.25">
      <c r="A11" s="16"/>
      <c r="B11" s="20" t="s">
        <v>183</v>
      </c>
      <c r="C11" s="21"/>
      <c r="D11" s="21"/>
      <c r="E11" s="21"/>
      <c r="F11" s="21"/>
    </row>
    <row r="12" spans="1:20" x14ac:dyDescent="0.25">
      <c r="A12" s="16"/>
      <c r="B12" s="20" t="s">
        <v>184</v>
      </c>
      <c r="C12" s="21"/>
      <c r="D12" s="21"/>
      <c r="E12" s="21"/>
      <c r="F12" s="21"/>
    </row>
    <row r="13" spans="1:20" x14ac:dyDescent="0.25">
      <c r="A13" s="22">
        <v>300</v>
      </c>
      <c r="B13" s="16" t="s">
        <v>185</v>
      </c>
      <c r="C13" s="21" t="str">
        <f>INDEX('Alloc Amt'!B:B,MATCH('Rate Base'!D:D,'Alloc Amt'!D:D,0))</f>
        <v>Total Production Plant</v>
      </c>
      <c r="D13" s="21">
        <v>73</v>
      </c>
      <c r="E13" s="21"/>
      <c r="F13" s="23">
        <v>77723700.535854891</v>
      </c>
      <c r="G13" s="39">
        <f t="shared" ref="G13:R15" si="8">INDEX(Alloc,($D13),(G$1))*$F13</f>
        <v>40967953.584467791</v>
      </c>
      <c r="H13" s="39">
        <f t="shared" si="8"/>
        <v>10293429.186533194</v>
      </c>
      <c r="I13" s="39">
        <f t="shared" si="8"/>
        <v>11399632.92356318</v>
      </c>
      <c r="J13" s="39">
        <f t="shared" si="8"/>
        <v>7210984.9182931921</v>
      </c>
      <c r="K13" s="39">
        <f t="shared" si="8"/>
        <v>5023818.4873103378</v>
      </c>
      <c r="L13" s="39">
        <f t="shared" si="8"/>
        <v>14452.636120730345</v>
      </c>
      <c r="M13" s="39">
        <f t="shared" si="8"/>
        <v>398459.77568387165</v>
      </c>
      <c r="N13" s="39">
        <f t="shared" si="8"/>
        <v>0</v>
      </c>
      <c r="O13" s="39">
        <f t="shared" si="8"/>
        <v>2132429.325894359</v>
      </c>
      <c r="P13" s="39">
        <f t="shared" si="8"/>
        <v>0</v>
      </c>
      <c r="Q13" s="39">
        <f t="shared" si="8"/>
        <v>256068.33726417462</v>
      </c>
      <c r="R13" s="39">
        <f t="shared" si="8"/>
        <v>26471.360724063765</v>
      </c>
      <c r="T13" s="96">
        <f>F13-SUM(G13:R13)</f>
        <v>0</v>
      </c>
    </row>
    <row r="14" spans="1:20" x14ac:dyDescent="0.25">
      <c r="A14" s="22">
        <v>300.01</v>
      </c>
      <c r="B14" s="16" t="s">
        <v>187</v>
      </c>
      <c r="C14" s="21" t="str">
        <f>INDEX('Alloc Amt'!B:B,MATCH('Rate Base'!D:D,'Alloc Amt'!D:D,0))</f>
        <v>Total Distribution Plant</v>
      </c>
      <c r="D14" s="21">
        <v>68</v>
      </c>
      <c r="E14" s="21"/>
      <c r="F14" s="23">
        <v>48660476.437339872</v>
      </c>
      <c r="G14" s="39">
        <f t="shared" si="8"/>
        <v>32354956.44464045</v>
      </c>
      <c r="H14" s="39">
        <f t="shared" si="8"/>
        <v>5768088.5474590631</v>
      </c>
      <c r="I14" s="39">
        <f t="shared" si="8"/>
        <v>4579517.4102492882</v>
      </c>
      <c r="J14" s="39">
        <f t="shared" si="8"/>
        <v>1950100.8144252701</v>
      </c>
      <c r="K14" s="39">
        <f t="shared" si="8"/>
        <v>1718415.5448518239</v>
      </c>
      <c r="L14" s="39">
        <f t="shared" si="8"/>
        <v>19595.939904608567</v>
      </c>
      <c r="M14" s="39">
        <f t="shared" si="8"/>
        <v>425092.25225567259</v>
      </c>
      <c r="N14" s="39">
        <f t="shared" si="8"/>
        <v>585080.93355514063</v>
      </c>
      <c r="O14" s="39">
        <f t="shared" si="8"/>
        <v>222976.22703948847</v>
      </c>
      <c r="P14" s="39">
        <f t="shared" si="8"/>
        <v>77039.254430597546</v>
      </c>
      <c r="Q14" s="39">
        <f t="shared" si="8"/>
        <v>944681.35026323958</v>
      </c>
      <c r="R14" s="39">
        <f t="shared" si="8"/>
        <v>14931.718265219053</v>
      </c>
      <c r="T14" s="96">
        <f t="shared" ref="T14:T16" si="9">F14-SUM(G14:R14)</f>
        <v>0</v>
      </c>
    </row>
    <row r="15" spans="1:20" x14ac:dyDescent="0.25">
      <c r="A15" s="22">
        <v>300.02</v>
      </c>
      <c r="B15" s="16" t="s">
        <v>188</v>
      </c>
      <c r="C15" s="21" t="str">
        <f>INDEX('Alloc Amt'!B:B,MATCH('Rate Base'!D:D,'Alloc Amt'!D:D,0))</f>
        <v>Total General Plant</v>
      </c>
      <c r="D15" s="21">
        <v>70</v>
      </c>
      <c r="E15" s="21"/>
      <c r="F15" s="23">
        <v>306106347.0642063</v>
      </c>
      <c r="G15" s="39">
        <f t="shared" si="8"/>
        <v>186359101.75673202</v>
      </c>
      <c r="H15" s="39">
        <f t="shared" si="8"/>
        <v>37040856.883185126</v>
      </c>
      <c r="I15" s="39">
        <f t="shared" si="8"/>
        <v>33621485.029495865</v>
      </c>
      <c r="J15" s="39">
        <f t="shared" si="8"/>
        <v>19124836.260652632</v>
      </c>
      <c r="K15" s="39">
        <f t="shared" si="8"/>
        <v>14286782.075442847</v>
      </c>
      <c r="L15" s="39">
        <f t="shared" si="8"/>
        <v>74945.817037218978</v>
      </c>
      <c r="M15" s="39">
        <f t="shared" si="8"/>
        <v>1801610.5434718451</v>
      </c>
      <c r="N15" s="39">
        <f t="shared" si="8"/>
        <v>1864947.7341166744</v>
      </c>
      <c r="O15" s="39">
        <f t="shared" si="8"/>
        <v>4787587.7432860974</v>
      </c>
      <c r="P15" s="39">
        <f t="shared" si="8"/>
        <v>2857861.7295351964</v>
      </c>
      <c r="Q15" s="39">
        <f t="shared" si="8"/>
        <v>4198678.5095187016</v>
      </c>
      <c r="R15" s="39">
        <f t="shared" si="8"/>
        <v>87652.981732119821</v>
      </c>
      <c r="T15" s="96">
        <f t="shared" si="9"/>
        <v>0</v>
      </c>
    </row>
    <row r="16" spans="1:20" x14ac:dyDescent="0.25">
      <c r="A16" s="25"/>
      <c r="B16" s="24" t="s">
        <v>189</v>
      </c>
      <c r="C16" s="26"/>
      <c r="D16" s="26"/>
      <c r="E16" s="26"/>
      <c r="F16" s="27">
        <f>SUM(F13:F15)</f>
        <v>432490524.03740108</v>
      </c>
      <c r="G16" s="40">
        <f t="shared" ref="G16:R16" si="10">SUM(G13:G15)</f>
        <v>259682011.78584027</v>
      </c>
      <c r="H16" s="40">
        <f t="shared" si="10"/>
        <v>53102374.617177382</v>
      </c>
      <c r="I16" s="40">
        <f t="shared" si="10"/>
        <v>49600635.363308333</v>
      </c>
      <c r="J16" s="40">
        <f t="shared" si="10"/>
        <v>28285921.993371092</v>
      </c>
      <c r="K16" s="40">
        <f t="shared" si="10"/>
        <v>21029016.10760501</v>
      </c>
      <c r="L16" s="40">
        <f t="shared" si="10"/>
        <v>108994.39306255789</v>
      </c>
      <c r="M16" s="40">
        <f t="shared" si="10"/>
        <v>2625162.5714113894</v>
      </c>
      <c r="N16" s="40">
        <f t="shared" si="10"/>
        <v>2450028.667671815</v>
      </c>
      <c r="O16" s="40">
        <f t="shared" si="10"/>
        <v>7142993.296219945</v>
      </c>
      <c r="P16" s="40">
        <f t="shared" si="10"/>
        <v>2934900.9839657941</v>
      </c>
      <c r="Q16" s="40">
        <f t="shared" si="10"/>
        <v>5399428.197046116</v>
      </c>
      <c r="R16" s="40">
        <f t="shared" si="10"/>
        <v>129056.06072140264</v>
      </c>
      <c r="T16" s="96">
        <f t="shared" si="9"/>
        <v>0</v>
      </c>
    </row>
    <row r="17" spans="1:20" x14ac:dyDescent="0.25">
      <c r="A17" s="22"/>
      <c r="B17" s="16"/>
      <c r="C17" s="21"/>
      <c r="D17" s="21"/>
      <c r="E17" s="21"/>
      <c r="F17" s="23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0" x14ac:dyDescent="0.25">
      <c r="A18" s="22"/>
      <c r="B18" s="20" t="s">
        <v>190</v>
      </c>
      <c r="C18" s="21"/>
      <c r="D18" s="21"/>
      <c r="E18" s="37">
        <v>4097835000</v>
      </c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0" x14ac:dyDescent="0.25">
      <c r="A19" s="22"/>
      <c r="B19" s="16" t="s">
        <v>322</v>
      </c>
      <c r="C19" s="21" t="str">
        <f>INDEX('Alloc Amt'!B:B,MATCH('Rate Base'!D:D,'Alloc Amt'!D:D,0))</f>
        <v>4 CP Winter Peak - No Interruptibles or Transportation</v>
      </c>
      <c r="D19" s="21">
        <v>30</v>
      </c>
      <c r="E19" s="38">
        <v>0.11</v>
      </c>
      <c r="F19" s="23">
        <f>E18*E19</f>
        <v>450761850</v>
      </c>
      <c r="G19" s="39">
        <f t="shared" ref="G19:R20" si="11">INDEX(Alloc,($D19),(G$1))*$F19</f>
        <v>259965707.38754493</v>
      </c>
      <c r="H19" s="39">
        <f t="shared" si="11"/>
        <v>59935871.778752059</v>
      </c>
      <c r="I19" s="39">
        <f t="shared" si="11"/>
        <v>64151641.620261058</v>
      </c>
      <c r="J19" s="39">
        <f t="shared" si="11"/>
        <v>33706417.779294312</v>
      </c>
      <c r="K19" s="39">
        <f t="shared" si="11"/>
        <v>23810976.149698023</v>
      </c>
      <c r="L19" s="39">
        <f t="shared" si="11"/>
        <v>813.72355375217785</v>
      </c>
      <c r="M19" s="39">
        <f t="shared" si="11"/>
        <v>0</v>
      </c>
      <c r="N19" s="39">
        <f t="shared" si="11"/>
        <v>0</v>
      </c>
      <c r="O19" s="39">
        <f t="shared" si="11"/>
        <v>8087581.6583443936</v>
      </c>
      <c r="P19" s="39">
        <f t="shared" si="11"/>
        <v>0</v>
      </c>
      <c r="Q19" s="39">
        <f t="shared" si="11"/>
        <v>936802.36947468005</v>
      </c>
      <c r="R19" s="39">
        <f t="shared" si="11"/>
        <v>166037.53307683227</v>
      </c>
      <c r="T19" s="96">
        <f t="shared" ref="T19:T21" si="12">F19-SUM(G19:R19)</f>
        <v>0</v>
      </c>
    </row>
    <row r="20" spans="1:20" x14ac:dyDescent="0.25">
      <c r="A20" s="22"/>
      <c r="B20" s="16" t="s">
        <v>323</v>
      </c>
      <c r="C20" s="21" t="str">
        <f>INDEX('Alloc Amt'!B:B,MATCH('Rate Base'!D:D,'Alloc Amt'!D:D,0))</f>
        <v>Energy - NO RETAIL WHEELING</v>
      </c>
      <c r="D20" s="21">
        <v>52</v>
      </c>
      <c r="E20" s="38">
        <v>0.89</v>
      </c>
      <c r="F20" s="23">
        <f>E18*E20</f>
        <v>3647073150</v>
      </c>
      <c r="G20" s="39">
        <f t="shared" si="11"/>
        <v>1899992103.6711621</v>
      </c>
      <c r="H20" s="39">
        <f t="shared" si="11"/>
        <v>482765699.29658234</v>
      </c>
      <c r="I20" s="39">
        <f t="shared" si="11"/>
        <v>536872427.73397517</v>
      </c>
      <c r="J20" s="39">
        <f t="shared" si="11"/>
        <v>346479113.51849151</v>
      </c>
      <c r="K20" s="39">
        <f t="shared" si="11"/>
        <v>241060344.81179464</v>
      </c>
      <c r="L20" s="39">
        <f t="shared" si="11"/>
        <v>761174.16083000868</v>
      </c>
      <c r="M20" s="39">
        <f t="shared" si="11"/>
        <v>21008037.492196832</v>
      </c>
      <c r="N20" s="39">
        <f t="shared" si="11"/>
        <v>0</v>
      </c>
      <c r="O20" s="39">
        <f t="shared" si="11"/>
        <v>104340718.41526327</v>
      </c>
      <c r="P20" s="39">
        <f t="shared" si="11"/>
        <v>0</v>
      </c>
      <c r="Q20" s="39">
        <f t="shared" si="11"/>
        <v>12563916.042007446</v>
      </c>
      <c r="R20" s="39">
        <f t="shared" si="11"/>
        <v>1229614.8576974967</v>
      </c>
      <c r="T20" s="96">
        <f t="shared" si="12"/>
        <v>0</v>
      </c>
    </row>
    <row r="21" spans="1:20" x14ac:dyDescent="0.25">
      <c r="A21" s="25"/>
      <c r="B21" s="24" t="s">
        <v>189</v>
      </c>
      <c r="C21" s="26"/>
      <c r="D21" s="26"/>
      <c r="E21" s="26"/>
      <c r="F21" s="27">
        <f t="shared" ref="F21:R21" si="13">SUM(F19:F20)</f>
        <v>4097835000</v>
      </c>
      <c r="G21" s="40">
        <f t="shared" si="13"/>
        <v>2159957811.0587072</v>
      </c>
      <c r="H21" s="40">
        <f t="shared" si="13"/>
        <v>542701571.07533443</v>
      </c>
      <c r="I21" s="40">
        <f t="shared" si="13"/>
        <v>601024069.35423625</v>
      </c>
      <c r="J21" s="40">
        <f t="shared" si="13"/>
        <v>380185531.29778582</v>
      </c>
      <c r="K21" s="40">
        <f t="shared" si="13"/>
        <v>264871320.96149266</v>
      </c>
      <c r="L21" s="40">
        <f t="shared" si="13"/>
        <v>761987.88438376086</v>
      </c>
      <c r="M21" s="40">
        <f t="shared" si="13"/>
        <v>21008037.492196832</v>
      </c>
      <c r="N21" s="40">
        <f t="shared" si="13"/>
        <v>0</v>
      </c>
      <c r="O21" s="40">
        <f t="shared" si="13"/>
        <v>112428300.07360765</v>
      </c>
      <c r="P21" s="40">
        <f t="shared" si="13"/>
        <v>0</v>
      </c>
      <c r="Q21" s="40">
        <f t="shared" si="13"/>
        <v>13500718.411482126</v>
      </c>
      <c r="R21" s="40">
        <f t="shared" si="13"/>
        <v>1395652.390774329</v>
      </c>
      <c r="T21" s="96">
        <f t="shared" si="12"/>
        <v>0</v>
      </c>
    </row>
    <row r="22" spans="1:20" x14ac:dyDescent="0.25">
      <c r="A22" s="22"/>
      <c r="B22" s="16"/>
      <c r="C22" s="21"/>
      <c r="D22" s="21"/>
      <c r="E22" s="21"/>
      <c r="F22" s="2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20" x14ac:dyDescent="0.25">
      <c r="A23" s="22"/>
      <c r="B23" s="20" t="s">
        <v>191</v>
      </c>
      <c r="C23" s="21"/>
      <c r="D23" s="21"/>
      <c r="E23" s="21">
        <v>1594737126.520097</v>
      </c>
      <c r="F23" s="23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20" x14ac:dyDescent="0.25">
      <c r="A24" s="22">
        <v>350</v>
      </c>
      <c r="B24" s="16" t="s">
        <v>192</v>
      </c>
      <c r="C24" s="21"/>
      <c r="D24" s="21"/>
      <c r="E24" s="21">
        <v>1231639678.3700972</v>
      </c>
      <c r="F24" s="23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T24" s="96">
        <f t="shared" ref="T24:T36" si="14">F24-SUM(G24:R24)</f>
        <v>0</v>
      </c>
    </row>
    <row r="25" spans="1:20" x14ac:dyDescent="0.25">
      <c r="A25" s="22"/>
      <c r="B25" s="16" t="s">
        <v>322</v>
      </c>
      <c r="C25" s="21" t="str">
        <f>INDEX('Alloc Amt'!B:B,MATCH('Rate Base'!D:D,'Alloc Amt'!D:D,0))</f>
        <v>4 CP Winter Peak - No Interruptibles</v>
      </c>
      <c r="D25" s="21">
        <v>29</v>
      </c>
      <c r="E25" s="38">
        <v>0.11</v>
      </c>
      <c r="F25" s="23">
        <f>E24*E25</f>
        <v>135480364.6207107</v>
      </c>
      <c r="G25" s="39">
        <f t="shared" ref="G25:R26" si="15">INDEX(Alloc,($D25),(G$1))*$F25</f>
        <v>72443940.946516782</v>
      </c>
      <c r="H25" s="39">
        <f t="shared" si="15"/>
        <v>16702167.371810606</v>
      </c>
      <c r="I25" s="39">
        <f t="shared" si="15"/>
        <v>17876964.557606719</v>
      </c>
      <c r="J25" s="39">
        <f t="shared" si="15"/>
        <v>9392876.3284214996</v>
      </c>
      <c r="K25" s="39">
        <f t="shared" si="15"/>
        <v>6635340.3585502552</v>
      </c>
      <c r="L25" s="39">
        <f t="shared" si="15"/>
        <v>226.75814309205626</v>
      </c>
      <c r="M25" s="39">
        <f t="shared" si="15"/>
        <v>0</v>
      </c>
      <c r="N25" s="39">
        <f t="shared" si="15"/>
        <v>1710174.4010131359</v>
      </c>
      <c r="O25" s="39">
        <f t="shared" si="15"/>
        <v>2253744.5186330141</v>
      </c>
      <c r="P25" s="39">
        <f t="shared" si="15"/>
        <v>8157603.9655339262</v>
      </c>
      <c r="Q25" s="39">
        <f t="shared" si="15"/>
        <v>261056.18396664032</v>
      </c>
      <c r="R25" s="39">
        <f t="shared" si="15"/>
        <v>46269.230515053889</v>
      </c>
      <c r="T25" s="96">
        <f t="shared" si="14"/>
        <v>0</v>
      </c>
    </row>
    <row r="26" spans="1:20" x14ac:dyDescent="0.25">
      <c r="A26" s="22"/>
      <c r="B26" s="16" t="s">
        <v>323</v>
      </c>
      <c r="C26" s="21" t="str">
        <f>INDEX('Alloc Amt'!B:B,MATCH('Rate Base'!D:D,'Alloc Amt'!D:D,0))</f>
        <v>Annual kWhs</v>
      </c>
      <c r="D26" s="21">
        <v>51</v>
      </c>
      <c r="E26" s="38">
        <v>0.89</v>
      </c>
      <c r="F26" s="23">
        <f>E24*E26</f>
        <v>1096159313.7493865</v>
      </c>
      <c r="G26" s="39">
        <f t="shared" si="15"/>
        <v>514613351.88639605</v>
      </c>
      <c r="H26" s="39">
        <f t="shared" si="15"/>
        <v>130757214.31197703</v>
      </c>
      <c r="I26" s="39">
        <f t="shared" si="15"/>
        <v>145412035.68043086</v>
      </c>
      <c r="J26" s="39">
        <f t="shared" si="15"/>
        <v>93843957.362697273</v>
      </c>
      <c r="K26" s="39">
        <f t="shared" si="15"/>
        <v>65291256.637747735</v>
      </c>
      <c r="L26" s="39">
        <f t="shared" si="15"/>
        <v>206164.21800763448</v>
      </c>
      <c r="M26" s="39">
        <f t="shared" si="15"/>
        <v>5690032.3793585561</v>
      </c>
      <c r="N26" s="39">
        <f t="shared" si="15"/>
        <v>15698334.490805665</v>
      </c>
      <c r="O26" s="39">
        <f t="shared" si="15"/>
        <v>28260710.525145657</v>
      </c>
      <c r="P26" s="39">
        <f t="shared" si="15"/>
        <v>92650274.850934267</v>
      </c>
      <c r="Q26" s="39">
        <f t="shared" si="15"/>
        <v>3402939.9041732703</v>
      </c>
      <c r="R26" s="39">
        <f t="shared" si="15"/>
        <v>333041.50171275629</v>
      </c>
      <c r="T26" s="96">
        <f t="shared" si="14"/>
        <v>0</v>
      </c>
    </row>
    <row r="27" spans="1:20" x14ac:dyDescent="0.25">
      <c r="A27" s="22">
        <v>350.01</v>
      </c>
      <c r="B27" s="16" t="s">
        <v>194</v>
      </c>
      <c r="C27" s="21"/>
      <c r="D27" s="21"/>
      <c r="E27" s="23">
        <v>176912910.8499999</v>
      </c>
      <c r="F27" s="2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T27" s="96">
        <f t="shared" si="14"/>
        <v>0</v>
      </c>
    </row>
    <row r="28" spans="1:20" x14ac:dyDescent="0.25">
      <c r="A28" s="22"/>
      <c r="B28" s="16" t="s">
        <v>322</v>
      </c>
      <c r="C28" s="21" t="str">
        <f>INDEX('Alloc Amt'!B:B,MATCH('Rate Base'!D:D,'Alloc Amt'!D:D,0))</f>
        <v>4 CP Winter Peak - No Interruptibles or Transportation</v>
      </c>
      <c r="D28" s="21">
        <v>30</v>
      </c>
      <c r="E28" s="38">
        <v>0.11</v>
      </c>
      <c r="F28" s="23">
        <f>E27*E28</f>
        <v>19460420.19349999</v>
      </c>
      <c r="G28" s="39">
        <f t="shared" ref="G28:R29" si="16">INDEX(Alloc,($D28),(G$1))*$F28</f>
        <v>11223314.265974568</v>
      </c>
      <c r="H28" s="39">
        <f t="shared" si="16"/>
        <v>2587568.6894936934</v>
      </c>
      <c r="I28" s="39">
        <f t="shared" si="16"/>
        <v>2769573.1172305346</v>
      </c>
      <c r="J28" s="39">
        <f t="shared" si="16"/>
        <v>1455183.1598053963</v>
      </c>
      <c r="K28" s="39">
        <f t="shared" si="16"/>
        <v>1027974.3085856312</v>
      </c>
      <c r="L28" s="39">
        <f t="shared" si="16"/>
        <v>35.130307228452132</v>
      </c>
      <c r="M28" s="39">
        <f t="shared" si="16"/>
        <v>0</v>
      </c>
      <c r="N28" s="39">
        <f t="shared" si="16"/>
        <v>0</v>
      </c>
      <c r="O28" s="39">
        <f t="shared" si="16"/>
        <v>349159.40073594375</v>
      </c>
      <c r="P28" s="39">
        <f t="shared" si="16"/>
        <v>0</v>
      </c>
      <c r="Q28" s="39">
        <f t="shared" si="16"/>
        <v>40443.901249060233</v>
      </c>
      <c r="R28" s="39">
        <f t="shared" si="16"/>
        <v>7168.2201179343583</v>
      </c>
      <c r="T28" s="96">
        <f t="shared" si="14"/>
        <v>0</v>
      </c>
    </row>
    <row r="29" spans="1:20" x14ac:dyDescent="0.25">
      <c r="A29" s="22"/>
      <c r="B29" s="16" t="s">
        <v>323</v>
      </c>
      <c r="C29" s="21" t="str">
        <f>INDEX('Alloc Amt'!B:B,MATCH('Rate Base'!D:D,'Alloc Amt'!D:D,0))</f>
        <v>Energy - NO RETAIL WHEELING</v>
      </c>
      <c r="D29" s="21">
        <v>52</v>
      </c>
      <c r="E29" s="38">
        <v>0.89</v>
      </c>
      <c r="F29" s="23">
        <f>E27*E29</f>
        <v>157452490.65649992</v>
      </c>
      <c r="G29" s="39">
        <f t="shared" si="16"/>
        <v>82027005.394917101</v>
      </c>
      <c r="H29" s="39">
        <f t="shared" si="16"/>
        <v>20842099.577238746</v>
      </c>
      <c r="I29" s="39">
        <f t="shared" si="16"/>
        <v>23178010.814374853</v>
      </c>
      <c r="J29" s="39">
        <f t="shared" si="16"/>
        <v>14958295.910226716</v>
      </c>
      <c r="K29" s="39">
        <f t="shared" si="16"/>
        <v>10407126.517089942</v>
      </c>
      <c r="L29" s="39">
        <f t="shared" si="16"/>
        <v>32861.62972795216</v>
      </c>
      <c r="M29" s="39">
        <f t="shared" si="16"/>
        <v>906965.0349490582</v>
      </c>
      <c r="N29" s="39">
        <f t="shared" si="16"/>
        <v>0</v>
      </c>
      <c r="O29" s="39">
        <f t="shared" si="16"/>
        <v>4504627.4959885925</v>
      </c>
      <c r="P29" s="39">
        <f t="shared" si="16"/>
        <v>0</v>
      </c>
      <c r="Q29" s="39">
        <f t="shared" si="16"/>
        <v>542412.99580547947</v>
      </c>
      <c r="R29" s="39">
        <f t="shared" si="16"/>
        <v>53085.286181525749</v>
      </c>
      <c r="T29" s="96">
        <f t="shared" si="14"/>
        <v>0</v>
      </c>
    </row>
    <row r="30" spans="1:20" x14ac:dyDescent="0.25">
      <c r="A30" s="22">
        <v>350.02</v>
      </c>
      <c r="B30" s="16" t="s">
        <v>195</v>
      </c>
      <c r="C30" s="21"/>
      <c r="D30" s="21"/>
      <c r="E30" s="23">
        <v>405246.36</v>
      </c>
      <c r="F30" s="23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T30" s="96">
        <f t="shared" si="14"/>
        <v>0</v>
      </c>
    </row>
    <row r="31" spans="1:20" x14ac:dyDescent="0.25">
      <c r="A31" s="22"/>
      <c r="B31" s="16" t="s">
        <v>322</v>
      </c>
      <c r="C31" s="21" t="str">
        <f>INDEX('Alloc Amt'!B:B,MATCH('Rate Base'!D:D,'Alloc Amt'!D:D,0))</f>
        <v>Schedule 449 / 459 Retail Revenue</v>
      </c>
      <c r="D31" s="21">
        <v>6</v>
      </c>
      <c r="E31" s="38">
        <v>1</v>
      </c>
      <c r="F31" s="23">
        <f>E30*E31</f>
        <v>405246.36</v>
      </c>
      <c r="G31" s="39">
        <f t="shared" ref="G31:R31" si="17">INDEX(Alloc,($D31),(G$1))*$F31</f>
        <v>0</v>
      </c>
      <c r="H31" s="39">
        <f t="shared" si="17"/>
        <v>0</v>
      </c>
      <c r="I31" s="39">
        <f t="shared" si="17"/>
        <v>0</v>
      </c>
      <c r="J31" s="39">
        <f t="shared" si="17"/>
        <v>0</v>
      </c>
      <c r="K31" s="39">
        <f t="shared" si="17"/>
        <v>0</v>
      </c>
      <c r="L31" s="39"/>
      <c r="M31" s="39"/>
      <c r="N31" s="39">
        <f t="shared" si="17"/>
        <v>0</v>
      </c>
      <c r="O31" s="39">
        <f t="shared" si="17"/>
        <v>0</v>
      </c>
      <c r="P31" s="39">
        <f t="shared" si="17"/>
        <v>405246.36</v>
      </c>
      <c r="Q31" s="39">
        <f t="shared" si="17"/>
        <v>0</v>
      </c>
      <c r="R31" s="39">
        <f t="shared" si="17"/>
        <v>0</v>
      </c>
      <c r="T31" s="96">
        <f t="shared" si="14"/>
        <v>0</v>
      </c>
    </row>
    <row r="32" spans="1:20" x14ac:dyDescent="0.25">
      <c r="A32" s="22"/>
      <c r="B32" s="16" t="s">
        <v>323</v>
      </c>
      <c r="C32" s="21"/>
      <c r="D32" s="21"/>
      <c r="E32" s="21"/>
      <c r="F32" s="23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T32" s="96">
        <f t="shared" si="14"/>
        <v>0</v>
      </c>
    </row>
    <row r="33" spans="1:20" x14ac:dyDescent="0.25">
      <c r="A33" s="22">
        <v>350.03</v>
      </c>
      <c r="B33" s="16" t="s">
        <v>196</v>
      </c>
      <c r="C33" s="21"/>
      <c r="D33" s="21"/>
      <c r="E33" s="23">
        <v>185779290.94</v>
      </c>
      <c r="F33" s="23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T33" s="96">
        <f t="shared" si="14"/>
        <v>0</v>
      </c>
    </row>
    <row r="34" spans="1:20" x14ac:dyDescent="0.25">
      <c r="A34" s="22"/>
      <c r="B34" s="16" t="s">
        <v>322</v>
      </c>
      <c r="C34" s="21" t="str">
        <f>INDEX('Alloc Amt'!B:B,MATCH('Rate Base'!D:D,'Alloc Amt'!D:D,0))</f>
        <v>4 CP Winter Peak - No Interruptibles or Transportation</v>
      </c>
      <c r="D34" s="21">
        <v>30</v>
      </c>
      <c r="E34" s="38">
        <v>0.11</v>
      </c>
      <c r="F34" s="23">
        <f>E33*E34</f>
        <v>20435722.003400002</v>
      </c>
      <c r="G34" s="39">
        <f t="shared" ref="G34:R35" si="18">INDEX(Alloc,($D34),(G$1))*$F34</f>
        <v>11785795.374185055</v>
      </c>
      <c r="H34" s="39">
        <f t="shared" si="18"/>
        <v>2717250.3922015689</v>
      </c>
      <c r="I34" s="39">
        <f t="shared" si="18"/>
        <v>2908376.3726087296</v>
      </c>
      <c r="J34" s="39">
        <f t="shared" si="18"/>
        <v>1528112.868176661</v>
      </c>
      <c r="K34" s="39">
        <f t="shared" si="18"/>
        <v>1079493.5046628646</v>
      </c>
      <c r="L34" s="39">
        <f t="shared" si="18"/>
        <v>36.890939932246319</v>
      </c>
      <c r="M34" s="39">
        <f t="shared" si="18"/>
        <v>0</v>
      </c>
      <c r="N34" s="39">
        <f t="shared" si="18"/>
        <v>0</v>
      </c>
      <c r="O34" s="39">
        <f t="shared" si="18"/>
        <v>366658.29295385757</v>
      </c>
      <c r="P34" s="39">
        <f t="shared" si="18"/>
        <v>0</v>
      </c>
      <c r="Q34" s="39">
        <f t="shared" si="18"/>
        <v>42470.836417746927</v>
      </c>
      <c r="R34" s="39">
        <f t="shared" si="18"/>
        <v>7527.4712535865156</v>
      </c>
      <c r="T34" s="96">
        <f t="shared" si="14"/>
        <v>0</v>
      </c>
    </row>
    <row r="35" spans="1:20" x14ac:dyDescent="0.25">
      <c r="A35" s="22"/>
      <c r="B35" s="16" t="s">
        <v>323</v>
      </c>
      <c r="C35" s="21" t="str">
        <f>INDEX('Alloc Amt'!B:B,MATCH('Rate Base'!D:D,'Alloc Amt'!D:D,0))</f>
        <v>Energy - NO RETAIL WHEELING</v>
      </c>
      <c r="D35" s="21">
        <v>52</v>
      </c>
      <c r="E35" s="38">
        <v>0.89</v>
      </c>
      <c r="F35" s="23">
        <f>E33*E35</f>
        <v>165343568.9366</v>
      </c>
      <c r="G35" s="39">
        <f t="shared" si="18"/>
        <v>86137969.393991575</v>
      </c>
      <c r="H35" s="39">
        <f t="shared" si="18"/>
        <v>21886647.291916907</v>
      </c>
      <c r="I35" s="39">
        <f t="shared" si="18"/>
        <v>24339627.864385538</v>
      </c>
      <c r="J35" s="39">
        <f t="shared" si="18"/>
        <v>15707963.847979512</v>
      </c>
      <c r="K35" s="39">
        <f t="shared" si="18"/>
        <v>10928702.579017241</v>
      </c>
      <c r="L35" s="39">
        <f t="shared" si="18"/>
        <v>34508.56266317422</v>
      </c>
      <c r="M35" s="39">
        <f t="shared" si="18"/>
        <v>952419.5848152166</v>
      </c>
      <c r="N35" s="39">
        <f t="shared" si="18"/>
        <v>0</v>
      </c>
      <c r="O35" s="39">
        <f t="shared" si="18"/>
        <v>4730386.8221531156</v>
      </c>
      <c r="P35" s="39">
        <f t="shared" si="18"/>
        <v>0</v>
      </c>
      <c r="Q35" s="39">
        <f t="shared" si="18"/>
        <v>569597.21748529025</v>
      </c>
      <c r="R35" s="39">
        <f t="shared" si="18"/>
        <v>55745.772192469907</v>
      </c>
      <c r="T35" s="96">
        <f t="shared" si="14"/>
        <v>0</v>
      </c>
    </row>
    <row r="36" spans="1:20" x14ac:dyDescent="0.25">
      <c r="A36" s="25"/>
      <c r="B36" s="24" t="s">
        <v>189</v>
      </c>
      <c r="C36" s="26"/>
      <c r="D36" s="26"/>
      <c r="E36" s="26"/>
      <c r="F36" s="27">
        <f>SUM(F24:F35)</f>
        <v>1594737126.520097</v>
      </c>
      <c r="G36" s="27">
        <f t="shared" ref="G36:R36" si="19">SUM(G24:G35)</f>
        <v>778231377.26198113</v>
      </c>
      <c r="H36" s="27">
        <f t="shared" si="19"/>
        <v>195492947.63463855</v>
      </c>
      <c r="I36" s="27">
        <f t="shared" si="19"/>
        <v>216484588.40663725</v>
      </c>
      <c r="J36" s="27">
        <f t="shared" si="19"/>
        <v>136886389.47730705</v>
      </c>
      <c r="K36" s="27">
        <f t="shared" si="19"/>
        <v>95369893.90565367</v>
      </c>
      <c r="L36" s="27">
        <f t="shared" si="19"/>
        <v>273833.18978901365</v>
      </c>
      <c r="M36" s="27">
        <f t="shared" si="19"/>
        <v>7549416.999122831</v>
      </c>
      <c r="N36" s="27">
        <f t="shared" si="19"/>
        <v>17408508.891818799</v>
      </c>
      <c r="O36" s="27">
        <f t="shared" si="19"/>
        <v>40465287.05561018</v>
      </c>
      <c r="P36" s="27">
        <f t="shared" si="19"/>
        <v>101213125.17646819</v>
      </c>
      <c r="Q36" s="27">
        <f t="shared" si="19"/>
        <v>4858921.039097487</v>
      </c>
      <c r="R36" s="27">
        <f t="shared" si="19"/>
        <v>502837.48197332671</v>
      </c>
      <c r="T36" s="96">
        <f t="shared" si="14"/>
        <v>0</v>
      </c>
    </row>
    <row r="37" spans="1:20" x14ac:dyDescent="0.25">
      <c r="A37" s="22"/>
      <c r="B37" s="16"/>
      <c r="C37" s="21"/>
      <c r="D37" s="21"/>
      <c r="E37" s="21"/>
      <c r="F37" s="23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20" x14ac:dyDescent="0.25">
      <c r="A38" s="22"/>
      <c r="B38" s="20" t="s">
        <v>197</v>
      </c>
      <c r="C38" s="21"/>
      <c r="D38" s="21"/>
      <c r="E38" s="21"/>
      <c r="F38" s="2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20" x14ac:dyDescent="0.25">
      <c r="A39" s="22">
        <v>360.01</v>
      </c>
      <c r="B39" s="16" t="s">
        <v>198</v>
      </c>
      <c r="C39" s="21" t="str">
        <f>INDEX('Alloc Amt'!B:B,MATCH('Rate Base'!D:D,'Alloc Amt'!D:D,0))</f>
        <v>Direct Assign Substation Land</v>
      </c>
      <c r="D39" s="21">
        <v>36</v>
      </c>
      <c r="E39" s="21"/>
      <c r="F39" s="23">
        <v>4397948.3721314128</v>
      </c>
      <c r="G39" s="39">
        <f t="shared" ref="G39:R46" si="20">INDEX(Alloc,($D39),(G$1))*$F39</f>
        <v>0</v>
      </c>
      <c r="H39" s="39">
        <f t="shared" si="20"/>
        <v>0</v>
      </c>
      <c r="I39" s="39">
        <f t="shared" si="20"/>
        <v>0</v>
      </c>
      <c r="J39" s="39">
        <f t="shared" si="20"/>
        <v>0</v>
      </c>
      <c r="K39" s="39">
        <f t="shared" si="20"/>
        <v>0</v>
      </c>
      <c r="L39" s="39">
        <f t="shared" si="20"/>
        <v>0</v>
      </c>
      <c r="M39" s="39">
        <f t="shared" si="20"/>
        <v>0</v>
      </c>
      <c r="N39" s="39">
        <f t="shared" si="20"/>
        <v>4381901.8082543351</v>
      </c>
      <c r="O39" s="39">
        <f t="shared" si="20"/>
        <v>16046.563877077044</v>
      </c>
      <c r="P39" s="39">
        <f t="shared" si="20"/>
        <v>0</v>
      </c>
      <c r="Q39" s="39">
        <f t="shared" si="20"/>
        <v>0</v>
      </c>
      <c r="R39" s="39">
        <f t="shared" si="20"/>
        <v>0</v>
      </c>
      <c r="T39" s="96">
        <f t="shared" ref="T39:T60" si="21">F39-SUM(G39:R39)</f>
        <v>0</v>
      </c>
    </row>
    <row r="40" spans="1:20" x14ac:dyDescent="0.25">
      <c r="A40" s="22">
        <v>360.02</v>
      </c>
      <c r="B40" s="16" t="s">
        <v>199</v>
      </c>
      <c r="C40" s="21" t="str">
        <f>INDEX('Alloc Amt'!B:B,MATCH('Rate Base'!D:D,'Alloc Amt'!D:D,0))</f>
        <v>Allocate Substation Land - 12 NCP</v>
      </c>
      <c r="D40" s="21">
        <v>42</v>
      </c>
      <c r="E40" s="21"/>
      <c r="F40" s="23">
        <v>47090051.627868585</v>
      </c>
      <c r="G40" s="39">
        <f t="shared" si="20"/>
        <v>21372455.737104561</v>
      </c>
      <c r="H40" s="39">
        <f t="shared" si="20"/>
        <v>6889967.5375397019</v>
      </c>
      <c r="I40" s="39">
        <f t="shared" si="20"/>
        <v>8964074.9893805142</v>
      </c>
      <c r="J40" s="39">
        <f t="shared" si="20"/>
        <v>5268260.9435781874</v>
      </c>
      <c r="K40" s="39">
        <f t="shared" si="20"/>
        <v>4339290.7146512726</v>
      </c>
      <c r="L40" s="39">
        <f t="shared" si="20"/>
        <v>949.85422932245592</v>
      </c>
      <c r="M40" s="39">
        <f t="shared" si="20"/>
        <v>221834.13773903536</v>
      </c>
      <c r="N40" s="39">
        <f t="shared" si="20"/>
        <v>0</v>
      </c>
      <c r="O40" s="39">
        <f t="shared" si="20"/>
        <v>0</v>
      </c>
      <c r="P40" s="39">
        <f t="shared" si="20"/>
        <v>0</v>
      </c>
      <c r="Q40" s="39">
        <f t="shared" si="20"/>
        <v>30334.570252941056</v>
      </c>
      <c r="R40" s="39">
        <f t="shared" si="20"/>
        <v>2883.1433930444241</v>
      </c>
      <c r="T40" s="96">
        <f t="shared" si="21"/>
        <v>0</v>
      </c>
    </row>
    <row r="41" spans="1:20" x14ac:dyDescent="0.25">
      <c r="A41" s="22">
        <v>361.01</v>
      </c>
      <c r="B41" s="16" t="s">
        <v>200</v>
      </c>
      <c r="C41" s="21" t="str">
        <f>INDEX('Alloc Amt'!B:B,MATCH('Rate Base'!D:D,'Alloc Amt'!D:D,0))</f>
        <v>Direct Assign Substation Structures</v>
      </c>
      <c r="D41" s="21">
        <v>37</v>
      </c>
      <c r="E41" s="21"/>
      <c r="F41" s="23">
        <v>652394.54478603089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359066.02125357295</v>
      </c>
      <c r="O41" s="39">
        <f t="shared" si="20"/>
        <v>134228.77736994543</v>
      </c>
      <c r="P41" s="39">
        <f t="shared" si="20"/>
        <v>159099.74616251249</v>
      </c>
      <c r="Q41" s="39">
        <f t="shared" si="20"/>
        <v>0</v>
      </c>
      <c r="R41" s="39">
        <f t="shared" si="20"/>
        <v>0</v>
      </c>
      <c r="T41" s="96">
        <f t="shared" si="21"/>
        <v>0</v>
      </c>
    </row>
    <row r="42" spans="1:20" x14ac:dyDescent="0.25">
      <c r="A42" s="22">
        <v>361.02</v>
      </c>
      <c r="B42" s="16" t="s">
        <v>201</v>
      </c>
      <c r="C42" s="21" t="str">
        <f>INDEX('Alloc Amt'!B:B,MATCH('Rate Base'!D:D,'Alloc Amt'!D:D,0))</f>
        <v>Allocate Substation Structures - 12 NCP</v>
      </c>
      <c r="D42" s="21">
        <v>43</v>
      </c>
      <c r="E42" s="21"/>
      <c r="F42" s="23">
        <v>7450605.4552139696</v>
      </c>
      <c r="G42" s="39">
        <f t="shared" si="20"/>
        <v>3792899.44249753</v>
      </c>
      <c r="H42" s="39">
        <f t="shared" si="20"/>
        <v>1044125.5497413003</v>
      </c>
      <c r="I42" s="39">
        <f t="shared" si="20"/>
        <v>1296782.1146047371</v>
      </c>
      <c r="J42" s="39">
        <f t="shared" si="20"/>
        <v>754188.6889221567</v>
      </c>
      <c r="K42" s="39">
        <f t="shared" si="20"/>
        <v>495124.92649974383</v>
      </c>
      <c r="L42" s="39">
        <f t="shared" si="20"/>
        <v>1.0767494427319133</v>
      </c>
      <c r="M42" s="39">
        <f t="shared" si="20"/>
        <v>60872.41462068462</v>
      </c>
      <c r="N42" s="39">
        <f t="shared" si="20"/>
        <v>0</v>
      </c>
      <c r="O42" s="39">
        <f t="shared" si="20"/>
        <v>0</v>
      </c>
      <c r="P42" s="39">
        <f t="shared" si="20"/>
        <v>0</v>
      </c>
      <c r="Q42" s="39">
        <f t="shared" si="20"/>
        <v>5763.3013922225664</v>
      </c>
      <c r="R42" s="39">
        <f t="shared" si="20"/>
        <v>847.94018615138168</v>
      </c>
      <c r="T42" s="96">
        <f t="shared" si="21"/>
        <v>0</v>
      </c>
    </row>
    <row r="43" spans="1:20" x14ac:dyDescent="0.25">
      <c r="A43" s="22">
        <v>362.01</v>
      </c>
      <c r="B43" s="16" t="s">
        <v>202</v>
      </c>
      <c r="C43" s="21" t="str">
        <f>INDEX('Alloc Amt'!B:B,MATCH('Rate Base'!D:D,'Alloc Amt'!D:D,0))</f>
        <v>Direct Assign Substation Equipment</v>
      </c>
      <c r="D43" s="21">
        <v>38</v>
      </c>
      <c r="E43" s="21"/>
      <c r="F43" s="23">
        <v>33433473.231653392</v>
      </c>
      <c r="G43" s="39">
        <f t="shared" si="20"/>
        <v>0</v>
      </c>
      <c r="H43" s="39">
        <f t="shared" si="20"/>
        <v>0</v>
      </c>
      <c r="I43" s="39">
        <f t="shared" si="20"/>
        <v>0</v>
      </c>
      <c r="J43" s="39">
        <f t="shared" si="20"/>
        <v>0</v>
      </c>
      <c r="K43" s="39">
        <f t="shared" si="20"/>
        <v>654749.74004621</v>
      </c>
      <c r="L43" s="39">
        <f t="shared" si="20"/>
        <v>0</v>
      </c>
      <c r="M43" s="39">
        <f t="shared" si="20"/>
        <v>0</v>
      </c>
      <c r="N43" s="39">
        <f t="shared" si="20"/>
        <v>15160583.846818591</v>
      </c>
      <c r="O43" s="39">
        <f t="shared" si="20"/>
        <v>12313198.493169427</v>
      </c>
      <c r="P43" s="39">
        <f t="shared" si="20"/>
        <v>5304941.1516191633</v>
      </c>
      <c r="Q43" s="39">
        <f t="shared" si="20"/>
        <v>0</v>
      </c>
      <c r="R43" s="39">
        <f t="shared" si="20"/>
        <v>0</v>
      </c>
      <c r="T43" s="96">
        <f t="shared" si="21"/>
        <v>0</v>
      </c>
    </row>
    <row r="44" spans="1:20" x14ac:dyDescent="0.25">
      <c r="A44" s="22">
        <v>362.02</v>
      </c>
      <c r="B44" s="16" t="s">
        <v>203</v>
      </c>
      <c r="C44" s="21" t="str">
        <f>INDEX('Alloc Amt'!B:B,MATCH('Rate Base'!D:D,'Alloc Amt'!D:D,0))</f>
        <v>Allocate Substation Equipment - 12 NCP</v>
      </c>
      <c r="D44" s="21">
        <v>44</v>
      </c>
      <c r="E44" s="21"/>
      <c r="F44" s="23">
        <v>437752526.76834661</v>
      </c>
      <c r="G44" s="39">
        <f t="shared" si="20"/>
        <v>244351600.54763758</v>
      </c>
      <c r="H44" s="39">
        <f t="shared" si="20"/>
        <v>59077851.688851751</v>
      </c>
      <c r="I44" s="39">
        <f t="shared" si="20"/>
        <v>64914131.167985559</v>
      </c>
      <c r="J44" s="39">
        <f t="shared" si="20"/>
        <v>34540268.724038981</v>
      </c>
      <c r="K44" s="39">
        <f t="shared" si="20"/>
        <v>30750704.14466393</v>
      </c>
      <c r="L44" s="39">
        <f t="shared" si="20"/>
        <v>113070.2220244175</v>
      </c>
      <c r="M44" s="39">
        <f t="shared" si="20"/>
        <v>3531377.7871913705</v>
      </c>
      <c r="N44" s="39">
        <f t="shared" si="20"/>
        <v>0</v>
      </c>
      <c r="O44" s="39">
        <f t="shared" si="20"/>
        <v>0</v>
      </c>
      <c r="P44" s="39">
        <f t="shared" si="20"/>
        <v>0</v>
      </c>
      <c r="Q44" s="39">
        <f t="shared" si="20"/>
        <v>353145.04930748604</v>
      </c>
      <c r="R44" s="39">
        <f t="shared" si="20"/>
        <v>120377.43664552382</v>
      </c>
      <c r="T44" s="96">
        <f t="shared" si="21"/>
        <v>0</v>
      </c>
    </row>
    <row r="45" spans="1:20" x14ac:dyDescent="0.25">
      <c r="A45" s="22">
        <v>363.01</v>
      </c>
      <c r="B45" s="16" t="s">
        <v>204</v>
      </c>
      <c r="C45" s="21" t="str">
        <f>INDEX('Alloc Amt'!B:B,MATCH('Rate Base'!D:D,'Alloc Amt'!D:D,0))</f>
        <v>Allocate Substation Equipment - 12 NCP</v>
      </c>
      <c r="D45" s="21">
        <v>44</v>
      </c>
      <c r="E45" s="21"/>
      <c r="F45" s="23">
        <v>1101000</v>
      </c>
      <c r="G45" s="39">
        <f t="shared" si="20"/>
        <v>614573.52214283624</v>
      </c>
      <c r="H45" s="39">
        <f t="shared" si="20"/>
        <v>148587.86810349277</v>
      </c>
      <c r="I45" s="39">
        <f t="shared" si="20"/>
        <v>163266.80954550701</v>
      </c>
      <c r="J45" s="39">
        <f t="shared" si="20"/>
        <v>86872.910011302622</v>
      </c>
      <c r="K45" s="39">
        <f t="shared" si="20"/>
        <v>77341.701516188972</v>
      </c>
      <c r="L45" s="39">
        <f t="shared" si="20"/>
        <v>284.38514191549706</v>
      </c>
      <c r="M45" s="39">
        <f t="shared" si="20"/>
        <v>8881.837810053823</v>
      </c>
      <c r="N45" s="39">
        <f t="shared" si="20"/>
        <v>0</v>
      </c>
      <c r="O45" s="39">
        <f t="shared" si="20"/>
        <v>0</v>
      </c>
      <c r="P45" s="39">
        <f t="shared" si="20"/>
        <v>0</v>
      </c>
      <c r="Q45" s="39">
        <f t="shared" si="20"/>
        <v>888.20206740530625</v>
      </c>
      <c r="R45" s="39">
        <f t="shared" si="20"/>
        <v>302.76366129774038</v>
      </c>
      <c r="T45" s="96">
        <f t="shared" si="21"/>
        <v>0</v>
      </c>
    </row>
    <row r="46" spans="1:20" x14ac:dyDescent="0.25">
      <c r="A46" s="22">
        <v>364.01</v>
      </c>
      <c r="B46" s="16" t="s">
        <v>205</v>
      </c>
      <c r="C46" s="21" t="str">
        <f>INDEX('Alloc Amt'!B:B,MATCH('Rate Base'!D:D,'Alloc Amt'!D:D,0))</f>
        <v>Allocate Overhead Lines - 12 NCP</v>
      </c>
      <c r="D46" s="21">
        <v>45</v>
      </c>
      <c r="E46" s="21"/>
      <c r="F46" s="23">
        <v>372360470.93214625</v>
      </c>
      <c r="G46" s="39">
        <f t="shared" si="20"/>
        <v>256635696.29111663</v>
      </c>
      <c r="H46" s="39">
        <f t="shared" si="20"/>
        <v>46891765.305053428</v>
      </c>
      <c r="I46" s="39">
        <f t="shared" si="20"/>
        <v>36455041.284208007</v>
      </c>
      <c r="J46" s="39">
        <f t="shared" si="20"/>
        <v>14421042.995726857</v>
      </c>
      <c r="K46" s="39">
        <f t="shared" si="20"/>
        <v>13498736.547584774</v>
      </c>
      <c r="L46" s="39">
        <f t="shared" si="20"/>
        <v>338104.22916481865</v>
      </c>
      <c r="M46" s="39">
        <f t="shared" si="20"/>
        <v>3637612.5363462684</v>
      </c>
      <c r="N46" s="39">
        <f t="shared" si="20"/>
        <v>0</v>
      </c>
      <c r="O46" s="39">
        <f t="shared" si="20"/>
        <v>0</v>
      </c>
      <c r="P46" s="39">
        <f t="shared" si="20"/>
        <v>0</v>
      </c>
      <c r="Q46" s="39">
        <f t="shared" si="20"/>
        <v>225527.48914423192</v>
      </c>
      <c r="R46" s="39">
        <f t="shared" si="20"/>
        <v>256944.25380113986</v>
      </c>
      <c r="T46" s="96">
        <f t="shared" si="21"/>
        <v>0</v>
      </c>
    </row>
    <row r="47" spans="1:20" x14ac:dyDescent="0.25">
      <c r="A47" s="22">
        <v>365.01</v>
      </c>
      <c r="B47" s="16" t="s">
        <v>206</v>
      </c>
      <c r="C47" s="21"/>
      <c r="D47" s="21" t="s">
        <v>324</v>
      </c>
      <c r="E47" s="21"/>
      <c r="F47" s="23">
        <v>71791.370995891833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71791.370995891833</v>
      </c>
      <c r="O47" s="39">
        <v>0</v>
      </c>
      <c r="P47" s="39">
        <v>0</v>
      </c>
      <c r="Q47" s="39">
        <v>0</v>
      </c>
      <c r="R47" s="39">
        <v>0</v>
      </c>
      <c r="T47" s="96">
        <f t="shared" si="21"/>
        <v>0</v>
      </c>
    </row>
    <row r="48" spans="1:20" x14ac:dyDescent="0.25">
      <c r="A48" s="22">
        <v>365.02</v>
      </c>
      <c r="B48" s="16" t="s">
        <v>207</v>
      </c>
      <c r="C48" s="21" t="str">
        <f>INDEX('Alloc Amt'!B:B,MATCH('Rate Base'!D:D,'Alloc Amt'!D:D,0))</f>
        <v>Allocate Overhead Lines - 12 NCP</v>
      </c>
      <c r="D48" s="21">
        <v>45</v>
      </c>
      <c r="E48" s="21"/>
      <c r="F48" s="23">
        <v>471990557.83454573</v>
      </c>
      <c r="G48" s="39">
        <f t="shared" ref="G48:R59" si="22">INDEX(Alloc,($D48),(G$1))*$F48</f>
        <v>325302052.46940446</v>
      </c>
      <c r="H48" s="39">
        <f t="shared" si="22"/>
        <v>59438292.170953557</v>
      </c>
      <c r="I48" s="39">
        <f t="shared" si="22"/>
        <v>46209081.293030679</v>
      </c>
      <c r="J48" s="39">
        <f t="shared" si="22"/>
        <v>18279588.354450829</v>
      </c>
      <c r="K48" s="39">
        <f t="shared" si="22"/>
        <v>17110506.325246107</v>
      </c>
      <c r="L48" s="39">
        <f t="shared" si="22"/>
        <v>428568.594647636</v>
      </c>
      <c r="M48" s="39">
        <f t="shared" si="22"/>
        <v>4610905.0348925982</v>
      </c>
      <c r="N48" s="39">
        <f t="shared" si="22"/>
        <v>0</v>
      </c>
      <c r="O48" s="39">
        <f t="shared" si="22"/>
        <v>0</v>
      </c>
      <c r="P48" s="39">
        <f t="shared" si="22"/>
        <v>0</v>
      </c>
      <c r="Q48" s="39">
        <f t="shared" si="22"/>
        <v>285870.4231996953</v>
      </c>
      <c r="R48" s="39">
        <f t="shared" si="22"/>
        <v>325693.16872005083</v>
      </c>
      <c r="T48" s="96">
        <f t="shared" si="21"/>
        <v>0</v>
      </c>
    </row>
    <row r="49" spans="1:20" x14ac:dyDescent="0.25">
      <c r="A49" s="22">
        <v>366.01</v>
      </c>
      <c r="B49" s="16" t="s">
        <v>208</v>
      </c>
      <c r="C49" s="21" t="str">
        <f>INDEX('Alloc Amt'!B:B,MATCH('Rate Base'!D:D,'Alloc Amt'!D:D,0))</f>
        <v>Direct Assign UG Dist Lines</v>
      </c>
      <c r="D49" s="21">
        <v>40</v>
      </c>
      <c r="E49" s="21"/>
      <c r="F49" s="23">
        <v>28743419.414837807</v>
      </c>
      <c r="G49" s="39">
        <f t="shared" si="22"/>
        <v>0</v>
      </c>
      <c r="H49" s="39">
        <f t="shared" si="22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2"/>
        <v>0</v>
      </c>
      <c r="M49" s="39">
        <f t="shared" si="22"/>
        <v>0</v>
      </c>
      <c r="N49" s="39">
        <f t="shared" si="22"/>
        <v>23101629.51589638</v>
      </c>
      <c r="O49" s="39">
        <f t="shared" si="22"/>
        <v>5608088.4825534066</v>
      </c>
      <c r="P49" s="39">
        <f t="shared" si="22"/>
        <v>33701.416388018217</v>
      </c>
      <c r="Q49" s="39">
        <f t="shared" si="22"/>
        <v>0</v>
      </c>
      <c r="R49" s="39">
        <f t="shared" si="22"/>
        <v>0</v>
      </c>
      <c r="T49" s="96">
        <f t="shared" si="21"/>
        <v>0</v>
      </c>
    </row>
    <row r="50" spans="1:20" x14ac:dyDescent="0.25">
      <c r="A50" s="22">
        <v>366.02</v>
      </c>
      <c r="B50" s="16" t="s">
        <v>209</v>
      </c>
      <c r="C50" s="21" t="str">
        <f>INDEX('Alloc Amt'!B:B,MATCH('Rate Base'!D:D,'Alloc Amt'!D:D,0))</f>
        <v>Allocate Underground Lines - 12 NCP</v>
      </c>
      <c r="D50" s="21">
        <v>47</v>
      </c>
      <c r="E50" s="21"/>
      <c r="F50" s="23">
        <v>718024871.41305971</v>
      </c>
      <c r="G50" s="39">
        <f t="shared" si="22"/>
        <v>483226813.4581219</v>
      </c>
      <c r="H50" s="39">
        <f t="shared" si="22"/>
        <v>86105106.443105906</v>
      </c>
      <c r="I50" s="39">
        <f t="shared" si="22"/>
        <v>80351473.792921528</v>
      </c>
      <c r="J50" s="39">
        <f t="shared" si="22"/>
        <v>34886382.524484321</v>
      </c>
      <c r="K50" s="39">
        <f t="shared" si="22"/>
        <v>24883749.128798679</v>
      </c>
      <c r="L50" s="39">
        <f t="shared" si="22"/>
        <v>295514.54824585636</v>
      </c>
      <c r="M50" s="39">
        <f t="shared" si="22"/>
        <v>7748177.8300317181</v>
      </c>
      <c r="N50" s="39">
        <f t="shared" si="22"/>
        <v>0</v>
      </c>
      <c r="O50" s="39">
        <f t="shared" si="22"/>
        <v>0</v>
      </c>
      <c r="P50" s="39">
        <f t="shared" si="22"/>
        <v>0</v>
      </c>
      <c r="Q50" s="39">
        <f t="shared" si="22"/>
        <v>331118.71068511618</v>
      </c>
      <c r="R50" s="39">
        <f t="shared" si="22"/>
        <v>196534.97666471408</v>
      </c>
      <c r="T50" s="96">
        <f t="shared" si="21"/>
        <v>0</v>
      </c>
    </row>
    <row r="51" spans="1:20" x14ac:dyDescent="0.25">
      <c r="A51" s="22">
        <v>367.01</v>
      </c>
      <c r="B51" s="16" t="s">
        <v>210</v>
      </c>
      <c r="C51" s="21" t="str">
        <f>INDEX('Alloc Amt'!B:B,MATCH('Rate Base'!D:D,'Alloc Amt'!D:D,0))</f>
        <v>Allocate Underground Lines - 12 NCP</v>
      </c>
      <c r="D51" s="21">
        <v>47</v>
      </c>
      <c r="E51" s="21"/>
      <c r="F51" s="23">
        <v>986578386.56156349</v>
      </c>
      <c r="G51" s="39">
        <f t="shared" si="22"/>
        <v>663961861.13523018</v>
      </c>
      <c r="H51" s="39">
        <f t="shared" si="22"/>
        <v>118309880.85715218</v>
      </c>
      <c r="I51" s="39">
        <f t="shared" si="22"/>
        <v>110404291.72941658</v>
      </c>
      <c r="J51" s="39">
        <f t="shared" si="22"/>
        <v>47934482.988369167</v>
      </c>
      <c r="K51" s="39">
        <f t="shared" si="22"/>
        <v>34190694.562960498</v>
      </c>
      <c r="L51" s="39">
        <f t="shared" si="22"/>
        <v>406042.01584285608</v>
      </c>
      <c r="M51" s="39">
        <f t="shared" si="22"/>
        <v>10646128.131050883</v>
      </c>
      <c r="N51" s="39">
        <f t="shared" si="22"/>
        <v>0</v>
      </c>
      <c r="O51" s="39">
        <f t="shared" si="22"/>
        <v>0</v>
      </c>
      <c r="P51" s="39">
        <f t="shared" si="22"/>
        <v>0</v>
      </c>
      <c r="Q51" s="39">
        <f t="shared" si="22"/>
        <v>454962.74064320017</v>
      </c>
      <c r="R51" s="39">
        <f t="shared" si="22"/>
        <v>270042.40089789941</v>
      </c>
      <c r="T51" s="96">
        <f t="shared" si="21"/>
        <v>0</v>
      </c>
    </row>
    <row r="52" spans="1:20" x14ac:dyDescent="0.25">
      <c r="A52" s="22" t="s">
        <v>211</v>
      </c>
      <c r="B52" s="16" t="s">
        <v>212</v>
      </c>
      <c r="C52" s="21" t="str">
        <f>INDEX('Alloc Amt'!B:B,MATCH('Rate Base'!D:D,'Alloc Amt'!D:D,0))</f>
        <v>Allocate Overhead Transformers</v>
      </c>
      <c r="D52" s="21">
        <v>46</v>
      </c>
      <c r="E52" s="21"/>
      <c r="F52" s="23">
        <v>173605063.30048591</v>
      </c>
      <c r="G52" s="39">
        <f t="shared" si="22"/>
        <v>129622783.85526644</v>
      </c>
      <c r="H52" s="39">
        <f t="shared" si="22"/>
        <v>21229564.703891553</v>
      </c>
      <c r="I52" s="39">
        <f t="shared" si="22"/>
        <v>3103642.0998950875</v>
      </c>
      <c r="J52" s="39">
        <f t="shared" si="22"/>
        <v>34997.8638195979</v>
      </c>
      <c r="K52" s="39">
        <f t="shared" si="22"/>
        <v>0</v>
      </c>
      <c r="L52" s="39">
        <f t="shared" si="22"/>
        <v>0</v>
      </c>
      <c r="M52" s="39">
        <f t="shared" si="22"/>
        <v>0</v>
      </c>
      <c r="N52" s="39">
        <f t="shared" si="22"/>
        <v>0</v>
      </c>
      <c r="O52" s="39">
        <f t="shared" si="22"/>
        <v>0</v>
      </c>
      <c r="P52" s="39">
        <f t="shared" si="22"/>
        <v>0</v>
      </c>
      <c r="Q52" s="39">
        <f t="shared" si="22"/>
        <v>19614074.777613256</v>
      </c>
      <c r="R52" s="39">
        <f t="shared" si="22"/>
        <v>0</v>
      </c>
      <c r="T52" s="96">
        <f t="shared" si="21"/>
        <v>0</v>
      </c>
    </row>
    <row r="53" spans="1:20" x14ac:dyDescent="0.25">
      <c r="A53" s="22" t="s">
        <v>213</v>
      </c>
      <c r="B53" s="16" t="s">
        <v>214</v>
      </c>
      <c r="C53" s="21" t="str">
        <f>INDEX('Alloc Amt'!B:B,MATCH('Rate Base'!D:D,'Alloc Amt'!D:D,0))</f>
        <v>Allocate Underground Transformers</v>
      </c>
      <c r="D53" s="21">
        <v>48</v>
      </c>
      <c r="E53" s="21"/>
      <c r="F53" s="23">
        <v>318350548.27234882</v>
      </c>
      <c r="G53" s="39">
        <f t="shared" si="22"/>
        <v>254323105.00839216</v>
      </c>
      <c r="H53" s="39">
        <f t="shared" si="22"/>
        <v>39317021.423054866</v>
      </c>
      <c r="I53" s="39">
        <f t="shared" si="22"/>
        <v>18739241.351015534</v>
      </c>
      <c r="J53" s="39">
        <f t="shared" si="22"/>
        <v>5178058.4964268021</v>
      </c>
      <c r="K53" s="39">
        <f t="shared" si="22"/>
        <v>0</v>
      </c>
      <c r="L53" s="39">
        <f t="shared" si="22"/>
        <v>0</v>
      </c>
      <c r="M53" s="39">
        <f t="shared" si="22"/>
        <v>0</v>
      </c>
      <c r="N53" s="39">
        <f t="shared" si="22"/>
        <v>0</v>
      </c>
      <c r="O53" s="39">
        <f t="shared" si="22"/>
        <v>0</v>
      </c>
      <c r="P53" s="39">
        <f t="shared" si="22"/>
        <v>0</v>
      </c>
      <c r="Q53" s="39">
        <f t="shared" si="22"/>
        <v>793121.9934594743</v>
      </c>
      <c r="R53" s="39">
        <f t="shared" si="22"/>
        <v>0</v>
      </c>
      <c r="T53" s="96">
        <f t="shared" si="21"/>
        <v>0</v>
      </c>
    </row>
    <row r="54" spans="1:20" x14ac:dyDescent="0.25">
      <c r="A54" s="22">
        <v>368.03</v>
      </c>
      <c r="B54" s="16" t="s">
        <v>215</v>
      </c>
      <c r="C54" s="21" t="str">
        <f>INDEX('Alloc Amt'!B:B,MATCH('Rate Base'!D:D,'Alloc Amt'!D:D,0))</f>
        <v>Line Transformers</v>
      </c>
      <c r="D54" s="21">
        <v>41</v>
      </c>
      <c r="E54" s="21"/>
      <c r="F54" s="23">
        <v>7577844.9767851122</v>
      </c>
      <c r="G54" s="39">
        <f t="shared" si="22"/>
        <v>0</v>
      </c>
      <c r="H54" s="39">
        <f t="shared" si="22"/>
        <v>0</v>
      </c>
      <c r="I54" s="39">
        <f t="shared" si="22"/>
        <v>0</v>
      </c>
      <c r="J54" s="39">
        <f t="shared" si="22"/>
        <v>0</v>
      </c>
      <c r="K54" s="39">
        <f t="shared" si="22"/>
        <v>2507661.8666352136</v>
      </c>
      <c r="L54" s="39">
        <f t="shared" si="22"/>
        <v>0</v>
      </c>
      <c r="M54" s="39">
        <f t="shared" si="22"/>
        <v>143717.78811025881</v>
      </c>
      <c r="N54" s="39">
        <f t="shared" si="22"/>
        <v>4867465.4686576258</v>
      </c>
      <c r="O54" s="39">
        <f t="shared" si="22"/>
        <v>0</v>
      </c>
      <c r="P54" s="39">
        <f t="shared" si="22"/>
        <v>0</v>
      </c>
      <c r="Q54" s="39">
        <f t="shared" si="22"/>
        <v>0</v>
      </c>
      <c r="R54" s="39">
        <f t="shared" si="22"/>
        <v>58999.853382014429</v>
      </c>
      <c r="T54" s="96">
        <f t="shared" si="21"/>
        <v>0</v>
      </c>
    </row>
    <row r="55" spans="1:20" x14ac:dyDescent="0.25">
      <c r="A55" s="22" t="s">
        <v>216</v>
      </c>
      <c r="B55" s="16" t="s">
        <v>217</v>
      </c>
      <c r="C55" s="21" t="str">
        <f>INDEX('Alloc Amt'!B:B,MATCH('Rate Base'!D:D,'Alloc Amt'!D:D,0))</f>
        <v>Dist OH Services (Sec Voltage Only)</v>
      </c>
      <c r="D55" s="21">
        <v>20</v>
      </c>
      <c r="E55" s="21"/>
      <c r="F55" s="23">
        <v>40889975.452172115</v>
      </c>
      <c r="G55" s="39">
        <f t="shared" si="22"/>
        <v>35287388.224718876</v>
      </c>
      <c r="H55" s="39">
        <f t="shared" si="22"/>
        <v>5391540.3962266576</v>
      </c>
      <c r="I55" s="39">
        <f t="shared" si="22"/>
        <v>206571.28579529174</v>
      </c>
      <c r="J55" s="39">
        <f t="shared" si="22"/>
        <v>4475.5454312894217</v>
      </c>
      <c r="K55" s="39">
        <f t="shared" si="22"/>
        <v>0</v>
      </c>
      <c r="L55" s="39">
        <f t="shared" si="22"/>
        <v>0</v>
      </c>
      <c r="M55" s="39">
        <f t="shared" si="22"/>
        <v>0</v>
      </c>
      <c r="N55" s="39">
        <f t="shared" si="22"/>
        <v>0</v>
      </c>
      <c r="O55" s="39">
        <f t="shared" si="22"/>
        <v>0</v>
      </c>
      <c r="P55" s="39">
        <f t="shared" si="22"/>
        <v>0</v>
      </c>
      <c r="Q55" s="39">
        <f t="shared" si="22"/>
        <v>0</v>
      </c>
      <c r="R55" s="39">
        <f t="shared" si="22"/>
        <v>0</v>
      </c>
      <c r="T55" s="96">
        <f t="shared" si="21"/>
        <v>0</v>
      </c>
    </row>
    <row r="56" spans="1:20" x14ac:dyDescent="0.25">
      <c r="A56" s="22" t="s">
        <v>218</v>
      </c>
      <c r="B56" s="16" t="s">
        <v>219</v>
      </c>
      <c r="C56" s="21" t="str">
        <f>INDEX('Alloc Amt'!B:B,MATCH('Rate Base'!D:D,'Alloc Amt'!D:D,0))</f>
        <v>Residential Allocation Only</v>
      </c>
      <c r="D56" s="21">
        <v>24</v>
      </c>
      <c r="E56" s="21"/>
      <c r="F56" s="23">
        <v>148141818.81021541</v>
      </c>
      <c r="G56" s="39">
        <f t="shared" si="22"/>
        <v>148141818.81021541</v>
      </c>
      <c r="H56" s="39">
        <f t="shared" si="22"/>
        <v>0</v>
      </c>
      <c r="I56" s="39">
        <f t="shared" si="22"/>
        <v>0</v>
      </c>
      <c r="J56" s="39">
        <f t="shared" si="22"/>
        <v>0</v>
      </c>
      <c r="K56" s="39">
        <f t="shared" si="22"/>
        <v>0</v>
      </c>
      <c r="L56" s="39">
        <f t="shared" si="22"/>
        <v>0</v>
      </c>
      <c r="M56" s="39">
        <f t="shared" si="22"/>
        <v>0</v>
      </c>
      <c r="N56" s="39">
        <f t="shared" si="22"/>
        <v>0</v>
      </c>
      <c r="O56" s="39">
        <f t="shared" si="22"/>
        <v>0</v>
      </c>
      <c r="P56" s="39">
        <f t="shared" si="22"/>
        <v>0</v>
      </c>
      <c r="Q56" s="39">
        <f t="shared" si="22"/>
        <v>0</v>
      </c>
      <c r="R56" s="39">
        <f t="shared" si="22"/>
        <v>0</v>
      </c>
      <c r="T56" s="96">
        <f t="shared" si="21"/>
        <v>0</v>
      </c>
    </row>
    <row r="57" spans="1:20" x14ac:dyDescent="0.25">
      <c r="A57" s="22">
        <v>370.01</v>
      </c>
      <c r="B57" s="16" t="s">
        <v>220</v>
      </c>
      <c r="C57" s="21" t="str">
        <f>INDEX('Alloc Amt'!B:B,MATCH('Rate Base'!D:D,'Alloc Amt'!D:D,0))</f>
        <v>Meter Investment</v>
      </c>
      <c r="D57" s="21">
        <v>19</v>
      </c>
      <c r="E57" s="21"/>
      <c r="F57" s="23">
        <v>206004867.61000001</v>
      </c>
      <c r="G57" s="39">
        <f t="shared" si="22"/>
        <v>133743709.16973646</v>
      </c>
      <c r="H57" s="39">
        <f t="shared" si="22"/>
        <v>37539912.318899311</v>
      </c>
      <c r="I57" s="39">
        <f t="shared" si="22"/>
        <v>11094399.206289688</v>
      </c>
      <c r="J57" s="39">
        <f t="shared" si="22"/>
        <v>1246915.3080466578</v>
      </c>
      <c r="K57" s="39">
        <f t="shared" si="22"/>
        <v>14935303.536787456</v>
      </c>
      <c r="L57" s="39">
        <f t="shared" si="22"/>
        <v>48424.959903730029</v>
      </c>
      <c r="M57" s="39">
        <f t="shared" si="22"/>
        <v>4826816.6046611229</v>
      </c>
      <c r="N57" s="39">
        <f t="shared" si="22"/>
        <v>976230.67360039195</v>
      </c>
      <c r="O57" s="39">
        <f t="shared" si="22"/>
        <v>606236.92276222247</v>
      </c>
      <c r="P57" s="39">
        <f t="shared" si="22"/>
        <v>976036.22035163466</v>
      </c>
      <c r="Q57" s="39">
        <f t="shared" si="22"/>
        <v>0</v>
      </c>
      <c r="R57" s="39">
        <f t="shared" si="22"/>
        <v>10882.688961321393</v>
      </c>
      <c r="T57" s="96">
        <f t="shared" si="21"/>
        <v>0</v>
      </c>
    </row>
    <row r="58" spans="1:20" x14ac:dyDescent="0.25">
      <c r="A58" s="22">
        <v>373</v>
      </c>
      <c r="B58" s="16" t="s">
        <v>221</v>
      </c>
      <c r="C58" s="21" t="str">
        <f>INDEX('Alloc Amt'!B:B,MATCH('Rate Base'!D:D,'Alloc Amt'!D:D,0))</f>
        <v>Str. &amp; Signal Systems</v>
      </c>
      <c r="D58" s="21">
        <v>12</v>
      </c>
      <c r="E58" s="21"/>
      <c r="F58" s="23">
        <v>57279322.090746596</v>
      </c>
      <c r="G58" s="39">
        <f t="shared" si="22"/>
        <v>0</v>
      </c>
      <c r="H58" s="39">
        <f t="shared" si="22"/>
        <v>0</v>
      </c>
      <c r="I58" s="39">
        <f t="shared" si="22"/>
        <v>0</v>
      </c>
      <c r="J58" s="39">
        <f t="shared" si="22"/>
        <v>0</v>
      </c>
      <c r="K58" s="39">
        <f t="shared" si="22"/>
        <v>0</v>
      </c>
      <c r="L58" s="39">
        <f t="shared" si="22"/>
        <v>0</v>
      </c>
      <c r="M58" s="39">
        <f t="shared" si="22"/>
        <v>0</v>
      </c>
      <c r="N58" s="39">
        <f t="shared" si="22"/>
        <v>0</v>
      </c>
      <c r="O58" s="39">
        <f t="shared" si="22"/>
        <v>0</v>
      </c>
      <c r="P58" s="39">
        <f t="shared" si="22"/>
        <v>0</v>
      </c>
      <c r="Q58" s="39">
        <f t="shared" si="22"/>
        <v>57279322.090746596</v>
      </c>
      <c r="R58" s="39">
        <f t="shared" si="22"/>
        <v>0</v>
      </c>
      <c r="T58" s="96">
        <f t="shared" si="21"/>
        <v>0</v>
      </c>
    </row>
    <row r="59" spans="1:20" x14ac:dyDescent="0.25">
      <c r="A59" s="22">
        <v>374</v>
      </c>
      <c r="B59" s="16" t="s">
        <v>222</v>
      </c>
      <c r="C59" s="21" t="str">
        <f>INDEX('Alloc Amt'!B:B,MATCH('Rate Base'!D:D,'Alloc Amt'!D:D,0))</f>
        <v>Total Distribution OH &amp; UG Lines</v>
      </c>
      <c r="D59" s="21">
        <v>71</v>
      </c>
      <c r="E59" s="21"/>
      <c r="F59" s="23">
        <v>27779665.853999924</v>
      </c>
      <c r="G59" s="39">
        <f t="shared" si="22"/>
        <v>18634154.181036007</v>
      </c>
      <c r="H59" s="39">
        <f t="shared" si="22"/>
        <v>3348784.1011199537</v>
      </c>
      <c r="I59" s="39">
        <f t="shared" si="22"/>
        <v>2946544.7304464811</v>
      </c>
      <c r="J59" s="39">
        <f t="shared" si="22"/>
        <v>1244932.3280795426</v>
      </c>
      <c r="K59" s="39">
        <f t="shared" si="22"/>
        <v>966487.82899679535</v>
      </c>
      <c r="L59" s="39">
        <f t="shared" si="22"/>
        <v>15822.563589197602</v>
      </c>
      <c r="M59" s="39">
        <f t="shared" si="22"/>
        <v>287119.82814793207</v>
      </c>
      <c r="N59" s="39">
        <f t="shared" si="22"/>
        <v>249731.36254017986</v>
      </c>
      <c r="O59" s="39">
        <f t="shared" si="22"/>
        <v>60436.289697138956</v>
      </c>
      <c r="P59" s="39">
        <f t="shared" si="22"/>
        <v>363.18766552392367</v>
      </c>
      <c r="Q59" s="39">
        <f t="shared" si="22"/>
        <v>13982.453904374266</v>
      </c>
      <c r="R59" s="39">
        <f t="shared" si="22"/>
        <v>11306.998776795182</v>
      </c>
      <c r="T59" s="96">
        <f t="shared" si="21"/>
        <v>0</v>
      </c>
    </row>
    <row r="60" spans="1:20" x14ac:dyDescent="0.25">
      <c r="A60" s="25"/>
      <c r="B60" s="24" t="s">
        <v>189</v>
      </c>
      <c r="C60" s="26"/>
      <c r="D60" s="26"/>
      <c r="E60" s="26"/>
      <c r="F60" s="27">
        <f>SUM(F39:F59)</f>
        <v>4089276603.8939037</v>
      </c>
      <c r="G60" s="40">
        <f t="shared" ref="G60:R60" si="23">SUM(G39:G59)</f>
        <v>2719010911.8526211</v>
      </c>
      <c r="H60" s="40">
        <f t="shared" si="23"/>
        <v>484732400.36369371</v>
      </c>
      <c r="I60" s="40">
        <f t="shared" si="23"/>
        <v>384848541.8545351</v>
      </c>
      <c r="J60" s="40">
        <f t="shared" si="23"/>
        <v>163880467.67138571</v>
      </c>
      <c r="K60" s="40">
        <f t="shared" si="23"/>
        <v>144410351.02438688</v>
      </c>
      <c r="L60" s="40">
        <f t="shared" si="23"/>
        <v>1646782.449539193</v>
      </c>
      <c r="M60" s="40">
        <f t="shared" si="23"/>
        <v>35723443.930601932</v>
      </c>
      <c r="N60" s="40">
        <f t="shared" si="23"/>
        <v>49168400.068016969</v>
      </c>
      <c r="O60" s="40">
        <f t="shared" si="23"/>
        <v>18738235.52942922</v>
      </c>
      <c r="P60" s="40">
        <f t="shared" si="23"/>
        <v>6474141.7221868522</v>
      </c>
      <c r="Q60" s="40">
        <f t="shared" si="23"/>
        <v>79388111.802415997</v>
      </c>
      <c r="R60" s="40">
        <f t="shared" si="23"/>
        <v>1254815.6250899525</v>
      </c>
      <c r="T60" s="96">
        <f t="shared" si="21"/>
        <v>0</v>
      </c>
    </row>
    <row r="61" spans="1:20" x14ac:dyDescent="0.25">
      <c r="A61" s="22"/>
      <c r="B61" s="16"/>
      <c r="C61" s="21"/>
      <c r="D61" s="21"/>
      <c r="E61" s="21"/>
      <c r="F61" s="23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20" x14ac:dyDescent="0.25">
      <c r="A62" s="22"/>
      <c r="B62" s="20" t="s">
        <v>223</v>
      </c>
      <c r="C62" s="21"/>
      <c r="D62" s="21"/>
      <c r="E62" s="21"/>
      <c r="F62" s="23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20" x14ac:dyDescent="0.25">
      <c r="A63" s="22">
        <v>389</v>
      </c>
      <c r="B63" s="16" t="s">
        <v>224</v>
      </c>
      <c r="C63" s="21" t="str">
        <f>INDEX('Alloc Amt'!B:B,MATCH('Rate Base'!D:D,'Alloc Amt'!D:D,0))</f>
        <v>Salary &amp; Wages - Total</v>
      </c>
      <c r="D63" s="21">
        <v>78</v>
      </c>
      <c r="E63" s="21"/>
      <c r="F63" s="23">
        <v>36039223.299999997</v>
      </c>
      <c r="G63" s="39">
        <f t="shared" ref="G63:R73" si="24">INDEX(Alloc,($D63),(G$1))*$F63</f>
        <v>21996076.861825429</v>
      </c>
      <c r="H63" s="39">
        <f t="shared" si="24"/>
        <v>4353077.6291101854</v>
      </c>
      <c r="I63" s="39">
        <f t="shared" si="24"/>
        <v>3933557.2241999623</v>
      </c>
      <c r="J63" s="39">
        <f t="shared" si="24"/>
        <v>2238489.1369467974</v>
      </c>
      <c r="K63" s="39">
        <f t="shared" si="24"/>
        <v>1672847.8005415685</v>
      </c>
      <c r="L63" s="39">
        <f t="shared" si="24"/>
        <v>8762.2334542621666</v>
      </c>
      <c r="M63" s="39">
        <f t="shared" si="24"/>
        <v>210701.52482762639</v>
      </c>
      <c r="N63" s="39">
        <f t="shared" si="24"/>
        <v>218371.21091309167</v>
      </c>
      <c r="O63" s="39">
        <f t="shared" si="24"/>
        <v>560298.23930373683</v>
      </c>
      <c r="P63" s="39">
        <f t="shared" si="24"/>
        <v>335535.40604806104</v>
      </c>
      <c r="Q63" s="39">
        <f t="shared" si="24"/>
        <v>501256.47979239281</v>
      </c>
      <c r="R63" s="39">
        <f t="shared" si="24"/>
        <v>10249.553036894737</v>
      </c>
      <c r="T63" s="96">
        <f t="shared" ref="T63:T76" si="25">F63-SUM(G63:R63)</f>
        <v>0</v>
      </c>
    </row>
    <row r="64" spans="1:20" x14ac:dyDescent="0.25">
      <c r="A64" s="22">
        <v>390</v>
      </c>
      <c r="B64" s="16" t="s">
        <v>225</v>
      </c>
      <c r="C64" s="21" t="str">
        <f>INDEX('Alloc Amt'!B:B,MATCH('Rate Base'!D:D,'Alloc Amt'!D:D,0))</f>
        <v>Salary &amp; Wages - Total</v>
      </c>
      <c r="D64" s="21">
        <v>78</v>
      </c>
      <c r="E64" s="21"/>
      <c r="F64" s="23">
        <v>202454183.79999998</v>
      </c>
      <c r="G64" s="39">
        <f t="shared" si="24"/>
        <v>123565309.68476593</v>
      </c>
      <c r="H64" s="39">
        <f t="shared" si="24"/>
        <v>24453878.239366543</v>
      </c>
      <c r="I64" s="39">
        <f t="shared" si="24"/>
        <v>22097177.584179427</v>
      </c>
      <c r="J64" s="39">
        <f t="shared" si="24"/>
        <v>12574951.668443149</v>
      </c>
      <c r="K64" s="39">
        <f t="shared" si="24"/>
        <v>9397401.0832877308</v>
      </c>
      <c r="L64" s="39">
        <f t="shared" si="24"/>
        <v>49222.781730917653</v>
      </c>
      <c r="M64" s="39">
        <f t="shared" si="24"/>
        <v>1183638.3065001441</v>
      </c>
      <c r="N64" s="39">
        <f t="shared" si="24"/>
        <v>1226723.5867657454</v>
      </c>
      <c r="O64" s="39">
        <f t="shared" si="24"/>
        <v>3147535.1668529194</v>
      </c>
      <c r="P64" s="39">
        <f t="shared" si="24"/>
        <v>1884905.9593207652</v>
      </c>
      <c r="Q64" s="39">
        <f t="shared" si="24"/>
        <v>2815861.7805403722</v>
      </c>
      <c r="R64" s="39">
        <f t="shared" si="24"/>
        <v>57577.958246379167</v>
      </c>
      <c r="T64" s="96">
        <f t="shared" si="25"/>
        <v>0</v>
      </c>
    </row>
    <row r="65" spans="1:20" x14ac:dyDescent="0.25">
      <c r="A65" s="22">
        <v>391</v>
      </c>
      <c r="B65" s="16" t="s">
        <v>226</v>
      </c>
      <c r="C65" s="21" t="str">
        <f>INDEX('Alloc Amt'!B:B,MATCH('Rate Base'!D:D,'Alloc Amt'!D:D,0))</f>
        <v>Salary &amp; Wages - Total</v>
      </c>
      <c r="D65" s="21">
        <v>78</v>
      </c>
      <c r="E65" s="21"/>
      <c r="F65" s="23">
        <v>109384337.50000001</v>
      </c>
      <c r="G65" s="39">
        <f t="shared" si="24"/>
        <v>66761324.879325412</v>
      </c>
      <c r="H65" s="39">
        <f t="shared" si="24"/>
        <v>13212230.146654921</v>
      </c>
      <c r="I65" s="39">
        <f t="shared" si="24"/>
        <v>11938924.082957469</v>
      </c>
      <c r="J65" s="39">
        <f t="shared" si="24"/>
        <v>6794143.4033588683</v>
      </c>
      <c r="K65" s="39">
        <f t="shared" si="24"/>
        <v>5077338.844884919</v>
      </c>
      <c r="L65" s="39">
        <f t="shared" si="24"/>
        <v>26594.665857152475</v>
      </c>
      <c r="M65" s="39">
        <f t="shared" si="24"/>
        <v>639510.08354582707</v>
      </c>
      <c r="N65" s="39">
        <f t="shared" si="24"/>
        <v>662788.70762459817</v>
      </c>
      <c r="O65" s="39">
        <f t="shared" si="24"/>
        <v>1700587.473777653</v>
      </c>
      <c r="P65" s="39">
        <f t="shared" si="24"/>
        <v>1018399.2533035709</v>
      </c>
      <c r="Q65" s="39">
        <f t="shared" si="24"/>
        <v>1521387.0594062731</v>
      </c>
      <c r="R65" s="39">
        <f t="shared" si="24"/>
        <v>31108.899303383267</v>
      </c>
      <c r="T65" s="96">
        <f t="shared" si="25"/>
        <v>0</v>
      </c>
    </row>
    <row r="66" spans="1:20" x14ac:dyDescent="0.25">
      <c r="A66" s="22">
        <v>392</v>
      </c>
      <c r="B66" s="16" t="s">
        <v>227</v>
      </c>
      <c r="C66" s="21" t="str">
        <f>INDEX('Alloc Amt'!B:B,MATCH('Rate Base'!D:D,'Alloc Amt'!D:D,0))</f>
        <v>Salary &amp; Wages - Total</v>
      </c>
      <c r="D66" s="21">
        <v>78</v>
      </c>
      <c r="E66" s="21"/>
      <c r="F66" s="23">
        <v>15439498.100000001</v>
      </c>
      <c r="G66" s="39">
        <f t="shared" si="24"/>
        <v>9423299.2783617433</v>
      </c>
      <c r="H66" s="39">
        <f t="shared" si="24"/>
        <v>1864894.069007287</v>
      </c>
      <c r="I66" s="39">
        <f t="shared" si="24"/>
        <v>1685168.0954310854</v>
      </c>
      <c r="J66" s="39">
        <f t="shared" si="24"/>
        <v>958987.0594342337</v>
      </c>
      <c r="K66" s="39">
        <f t="shared" si="24"/>
        <v>716661.68338457868</v>
      </c>
      <c r="L66" s="39">
        <f t="shared" si="24"/>
        <v>3753.8124959767706</v>
      </c>
      <c r="M66" s="39">
        <f t="shared" si="24"/>
        <v>90266.256993480798</v>
      </c>
      <c r="N66" s="39">
        <f t="shared" si="24"/>
        <v>93552.013258492691</v>
      </c>
      <c r="O66" s="39">
        <f t="shared" si="24"/>
        <v>240036.34953929187</v>
      </c>
      <c r="P66" s="39">
        <f t="shared" si="24"/>
        <v>143746.11297912648</v>
      </c>
      <c r="Q66" s="39">
        <f t="shared" si="24"/>
        <v>214742.37674171347</v>
      </c>
      <c r="R66" s="39">
        <f t="shared" si="24"/>
        <v>4390.9923729956063</v>
      </c>
      <c r="T66" s="96">
        <f t="shared" si="25"/>
        <v>0</v>
      </c>
    </row>
    <row r="67" spans="1:20" x14ac:dyDescent="0.25">
      <c r="A67" s="22">
        <v>393</v>
      </c>
      <c r="B67" s="16" t="s">
        <v>228</v>
      </c>
      <c r="C67" s="21" t="str">
        <f>INDEX('Alloc Amt'!B:B,MATCH('Rate Base'!D:D,'Alloc Amt'!D:D,0))</f>
        <v>Prod Trans Dist Allocation Factor</v>
      </c>
      <c r="D67" s="21">
        <v>75</v>
      </c>
      <c r="E67" s="21"/>
      <c r="F67" s="23">
        <v>232556.7</v>
      </c>
      <c r="G67" s="39">
        <f t="shared" si="24"/>
        <v>134496.02654817307</v>
      </c>
      <c r="H67" s="39">
        <f t="shared" si="24"/>
        <v>29074.243170074282</v>
      </c>
      <c r="I67" s="39">
        <f t="shared" si="24"/>
        <v>28585.212291661195</v>
      </c>
      <c r="J67" s="39">
        <f t="shared" si="24"/>
        <v>16189.172893448424</v>
      </c>
      <c r="K67" s="39">
        <f t="shared" si="24"/>
        <v>11997.74255848674</v>
      </c>
      <c r="L67" s="39">
        <f t="shared" si="24"/>
        <v>63.777046658175351</v>
      </c>
      <c r="M67" s="39">
        <f t="shared" si="24"/>
        <v>1528.2339792842622</v>
      </c>
      <c r="N67" s="39">
        <f t="shared" si="24"/>
        <v>1582.8200446158969</v>
      </c>
      <c r="O67" s="39">
        <f t="shared" si="24"/>
        <v>4080.4280859893129</v>
      </c>
      <c r="P67" s="39">
        <f t="shared" si="24"/>
        <v>2560.1904212753589</v>
      </c>
      <c r="Q67" s="39">
        <f t="shared" si="24"/>
        <v>2323.8852992214938</v>
      </c>
      <c r="R67" s="39">
        <f t="shared" si="24"/>
        <v>74.967661111841252</v>
      </c>
      <c r="T67" s="96">
        <f t="shared" si="25"/>
        <v>0</v>
      </c>
    </row>
    <row r="68" spans="1:20" x14ac:dyDescent="0.25">
      <c r="A68" s="22">
        <v>394</v>
      </c>
      <c r="B68" s="16" t="s">
        <v>229</v>
      </c>
      <c r="C68" s="21" t="str">
        <f>INDEX('Alloc Amt'!B:B,MATCH('Rate Base'!D:D,'Alloc Amt'!D:D,0))</f>
        <v>Salary &amp; Wages - PTD Subtotal</v>
      </c>
      <c r="D68" s="21">
        <v>79</v>
      </c>
      <c r="E68" s="21"/>
      <c r="F68" s="23">
        <v>14232778.5</v>
      </c>
      <c r="G68" s="39">
        <f t="shared" si="24"/>
        <v>8260230.744823806</v>
      </c>
      <c r="H68" s="39">
        <f t="shared" si="24"/>
        <v>1780231.5690167379</v>
      </c>
      <c r="I68" s="39">
        <f t="shared" si="24"/>
        <v>1745481.0453963543</v>
      </c>
      <c r="J68" s="39">
        <f t="shared" si="24"/>
        <v>985722.34152021946</v>
      </c>
      <c r="K68" s="39">
        <f t="shared" si="24"/>
        <v>731718.51701992343</v>
      </c>
      <c r="L68" s="39">
        <f t="shared" si="24"/>
        <v>3935.793567496828</v>
      </c>
      <c r="M68" s="39">
        <f t="shared" si="24"/>
        <v>94114.451291056626</v>
      </c>
      <c r="N68" s="39">
        <f t="shared" si="24"/>
        <v>95482.41103871986</v>
      </c>
      <c r="O68" s="39">
        <f t="shared" si="24"/>
        <v>247267.51325907151</v>
      </c>
      <c r="P68" s="39">
        <f t="shared" si="24"/>
        <v>139579.16268902703</v>
      </c>
      <c r="Q68" s="39">
        <f t="shared" si="24"/>
        <v>144424.39526969721</v>
      </c>
      <c r="R68" s="39">
        <f t="shared" si="24"/>
        <v>4590.5551078905164</v>
      </c>
      <c r="T68" s="96">
        <f t="shared" si="25"/>
        <v>0</v>
      </c>
    </row>
    <row r="69" spans="1:20" x14ac:dyDescent="0.25">
      <c r="A69" s="22">
        <v>395</v>
      </c>
      <c r="B69" s="16" t="s">
        <v>230</v>
      </c>
      <c r="C69" s="21" t="str">
        <f>INDEX('Alloc Amt'!B:B,MATCH('Rate Base'!D:D,'Alloc Amt'!D:D,0))</f>
        <v>Salary &amp; Wages - PTD Subtotal</v>
      </c>
      <c r="D69" s="21">
        <v>79</v>
      </c>
      <c r="E69" s="21"/>
      <c r="F69" s="23">
        <v>7820000</v>
      </c>
      <c r="G69" s="39">
        <f t="shared" si="24"/>
        <v>4538467.6241903268</v>
      </c>
      <c r="H69" s="39">
        <f t="shared" si="24"/>
        <v>978123.20129276859</v>
      </c>
      <c r="I69" s="39">
        <f t="shared" si="24"/>
        <v>959030.01476482546</v>
      </c>
      <c r="J69" s="39">
        <f t="shared" si="24"/>
        <v>541591.27894023759</v>
      </c>
      <c r="K69" s="39">
        <f t="shared" si="24"/>
        <v>402032.44946837338</v>
      </c>
      <c r="L69" s="39">
        <f t="shared" si="24"/>
        <v>2162.466429012803</v>
      </c>
      <c r="M69" s="39">
        <f t="shared" si="24"/>
        <v>51709.861788129623</v>
      </c>
      <c r="N69" s="39">
        <f t="shared" si="24"/>
        <v>52461.468034705191</v>
      </c>
      <c r="O69" s="39">
        <f t="shared" si="24"/>
        <v>135857.65798898219</v>
      </c>
      <c r="P69" s="39">
        <f t="shared" si="24"/>
        <v>76689.808123423776</v>
      </c>
      <c r="Q69" s="39">
        <f t="shared" si="24"/>
        <v>79351.953029342243</v>
      </c>
      <c r="R69" s="39">
        <f t="shared" si="24"/>
        <v>2522.2159498726014</v>
      </c>
      <c r="T69" s="96">
        <f t="shared" si="25"/>
        <v>0</v>
      </c>
    </row>
    <row r="70" spans="1:20" x14ac:dyDescent="0.25">
      <c r="A70" s="22">
        <v>396</v>
      </c>
      <c r="B70" s="16" t="s">
        <v>231</v>
      </c>
      <c r="C70" s="21" t="str">
        <f>INDEX('Alloc Amt'!B:B,MATCH('Rate Base'!D:D,'Alloc Amt'!D:D,0))</f>
        <v>Salary &amp; Wages - PTD Subtotal</v>
      </c>
      <c r="D70" s="21">
        <v>79</v>
      </c>
      <c r="E70" s="21"/>
      <c r="F70" s="23">
        <v>5307201.3</v>
      </c>
      <c r="G70" s="39">
        <f t="shared" si="24"/>
        <v>3080122.925205986</v>
      </c>
      <c r="H70" s="39">
        <f t="shared" si="24"/>
        <v>663823.11067278043</v>
      </c>
      <c r="I70" s="39">
        <f t="shared" si="24"/>
        <v>650865.1331328518</v>
      </c>
      <c r="J70" s="39">
        <f t="shared" si="24"/>
        <v>367561.88486704492</v>
      </c>
      <c r="K70" s="39">
        <f t="shared" si="24"/>
        <v>272847.46016121935</v>
      </c>
      <c r="L70" s="39">
        <f t="shared" si="24"/>
        <v>1467.6016167855632</v>
      </c>
      <c r="M70" s="39">
        <f t="shared" si="24"/>
        <v>35093.944463527092</v>
      </c>
      <c r="N70" s="39">
        <f t="shared" si="24"/>
        <v>35604.037257505857</v>
      </c>
      <c r="O70" s="39">
        <f t="shared" si="24"/>
        <v>92202.549756276436</v>
      </c>
      <c r="P70" s="39">
        <f t="shared" si="24"/>
        <v>52047.090712197605</v>
      </c>
      <c r="Q70" s="39">
        <f t="shared" si="24"/>
        <v>53853.809242309981</v>
      </c>
      <c r="R70" s="39">
        <f t="shared" si="24"/>
        <v>1711.7529115146554</v>
      </c>
      <c r="T70" s="96">
        <f t="shared" si="25"/>
        <v>0</v>
      </c>
    </row>
    <row r="71" spans="1:20" x14ac:dyDescent="0.25">
      <c r="A71" s="22">
        <v>397</v>
      </c>
      <c r="B71" s="16" t="s">
        <v>232</v>
      </c>
      <c r="C71" s="21" t="str">
        <f>INDEX('Alloc Amt'!B:B,MATCH('Rate Base'!D:D,'Alloc Amt'!D:D,0))</f>
        <v>Salary &amp; Wages - Total</v>
      </c>
      <c r="D71" s="21">
        <v>78</v>
      </c>
      <c r="E71" s="21"/>
      <c r="F71" s="23">
        <v>146940395.59999999</v>
      </c>
      <c r="G71" s="39">
        <f t="shared" si="24"/>
        <v>89683182.371042803</v>
      </c>
      <c r="H71" s="39">
        <f t="shared" si="24"/>
        <v>17748522.035960767</v>
      </c>
      <c r="I71" s="39">
        <f t="shared" si="24"/>
        <v>16038038.60665278</v>
      </c>
      <c r="J71" s="39">
        <f t="shared" si="24"/>
        <v>9126847.0630238298</v>
      </c>
      <c r="K71" s="39">
        <f t="shared" si="24"/>
        <v>6820594.2049302701</v>
      </c>
      <c r="L71" s="39">
        <f t="shared" si="24"/>
        <v>35725.68807577042</v>
      </c>
      <c r="M71" s="39">
        <f t="shared" si="24"/>
        <v>859079.7075167445</v>
      </c>
      <c r="N71" s="39">
        <f t="shared" si="24"/>
        <v>890350.82282754767</v>
      </c>
      <c r="O71" s="39">
        <f t="shared" si="24"/>
        <v>2284467.7936573224</v>
      </c>
      <c r="P71" s="39">
        <f t="shared" si="24"/>
        <v>1368056.8222042876</v>
      </c>
      <c r="Q71" s="39">
        <f t="shared" si="24"/>
        <v>2043740.6440376202</v>
      </c>
      <c r="R71" s="39">
        <f t="shared" si="24"/>
        <v>41789.840070290695</v>
      </c>
      <c r="T71" s="96">
        <f t="shared" si="25"/>
        <v>0</v>
      </c>
    </row>
    <row r="72" spans="1:20" x14ac:dyDescent="0.25">
      <c r="A72" s="22">
        <v>398</v>
      </c>
      <c r="B72" s="16" t="s">
        <v>233</v>
      </c>
      <c r="C72" s="21" t="str">
        <f>INDEX('Alloc Amt'!B:B,MATCH('Rate Base'!D:D,'Alloc Amt'!D:D,0))</f>
        <v>Salary &amp; Wages - Total</v>
      </c>
      <c r="D72" s="21">
        <v>78</v>
      </c>
      <c r="E72" s="21"/>
      <c r="F72" s="23">
        <v>977290.20000000007</v>
      </c>
      <c r="G72" s="39">
        <f t="shared" si="24"/>
        <v>596476.51606045431</v>
      </c>
      <c r="H72" s="39">
        <f t="shared" si="24"/>
        <v>118044.16736052743</v>
      </c>
      <c r="I72" s="39">
        <f t="shared" si="24"/>
        <v>106667.86279908054</v>
      </c>
      <c r="J72" s="39">
        <f t="shared" si="24"/>
        <v>60702.015638182835</v>
      </c>
      <c r="K72" s="39">
        <f t="shared" si="24"/>
        <v>45363.290655623809</v>
      </c>
      <c r="L72" s="39">
        <f t="shared" si="24"/>
        <v>237.60902985283164</v>
      </c>
      <c r="M72" s="39">
        <f t="shared" si="24"/>
        <v>5713.6785003659052</v>
      </c>
      <c r="N72" s="39">
        <f t="shared" si="24"/>
        <v>5921.660481165186</v>
      </c>
      <c r="O72" s="39">
        <f t="shared" si="24"/>
        <v>15193.83405659569</v>
      </c>
      <c r="P72" s="39">
        <f t="shared" si="24"/>
        <v>9098.8493662623077</v>
      </c>
      <c r="Q72" s="39">
        <f t="shared" si="24"/>
        <v>13592.774775132393</v>
      </c>
      <c r="R72" s="39">
        <f t="shared" si="24"/>
        <v>277.9412767571344</v>
      </c>
      <c r="T72" s="96">
        <f t="shared" si="25"/>
        <v>0</v>
      </c>
    </row>
    <row r="73" spans="1:20" x14ac:dyDescent="0.25">
      <c r="A73" s="22">
        <v>399</v>
      </c>
      <c r="B73" s="16" t="s">
        <v>234</v>
      </c>
      <c r="C73" s="21" t="str">
        <f>INDEX('Alloc Amt'!B:B,MATCH('Rate Base'!D:D,'Alloc Amt'!D:D,0))</f>
        <v>Salary &amp; Wages - Total</v>
      </c>
      <c r="D73" s="21">
        <v>78</v>
      </c>
      <c r="E73" s="21"/>
      <c r="F73" s="23">
        <v>1250391.3638000034</v>
      </c>
      <c r="G73" s="39">
        <f t="shared" si="24"/>
        <v>763160.30222292827</v>
      </c>
      <c r="H73" s="39">
        <f t="shared" si="24"/>
        <v>151031.29798555817</v>
      </c>
      <c r="I73" s="39">
        <f t="shared" si="24"/>
        <v>136475.9151774713</v>
      </c>
      <c r="J73" s="39">
        <f t="shared" si="24"/>
        <v>77665.0334969455</v>
      </c>
      <c r="K73" s="39">
        <f t="shared" si="24"/>
        <v>58039.942352170729</v>
      </c>
      <c r="L73" s="39">
        <f t="shared" si="24"/>
        <v>304.00824533887464</v>
      </c>
      <c r="M73" s="39">
        <f t="shared" si="24"/>
        <v>7310.3508583093144</v>
      </c>
      <c r="N73" s="39">
        <f t="shared" si="24"/>
        <v>7576.4528540291512</v>
      </c>
      <c r="O73" s="39">
        <f t="shared" si="24"/>
        <v>19439.710832440171</v>
      </c>
      <c r="P73" s="39">
        <f t="shared" si="24"/>
        <v>11641.498777017843</v>
      </c>
      <c r="Q73" s="39">
        <f t="shared" si="24"/>
        <v>17391.239765735987</v>
      </c>
      <c r="R73" s="39">
        <f t="shared" si="24"/>
        <v>355.61123205846883</v>
      </c>
      <c r="T73" s="96">
        <f t="shared" si="25"/>
        <v>0</v>
      </c>
    </row>
    <row r="74" spans="1:20" x14ac:dyDescent="0.25">
      <c r="A74" s="25"/>
      <c r="B74" s="24" t="s">
        <v>189</v>
      </c>
      <c r="C74" s="26"/>
      <c r="D74" s="26"/>
      <c r="E74" s="26"/>
      <c r="F74" s="27">
        <f>SUM(F63:F73)</f>
        <v>540077856.36380005</v>
      </c>
      <c r="G74" s="40">
        <f t="shared" ref="G74:R74" si="26">SUM(G63:G73)</f>
        <v>328802147.21437299</v>
      </c>
      <c r="H74" s="40">
        <f t="shared" si="26"/>
        <v>65352929.709598146</v>
      </c>
      <c r="I74" s="40">
        <f t="shared" si="26"/>
        <v>59319970.776982963</v>
      </c>
      <c r="J74" s="40">
        <f t="shared" si="26"/>
        <v>33742850.058562957</v>
      </c>
      <c r="K74" s="40">
        <f t="shared" si="26"/>
        <v>25206843.019244865</v>
      </c>
      <c r="L74" s="40">
        <f t="shared" si="26"/>
        <v>132230.43754922456</v>
      </c>
      <c r="M74" s="40">
        <f t="shared" si="26"/>
        <v>3178666.4002644955</v>
      </c>
      <c r="N74" s="40">
        <f t="shared" si="26"/>
        <v>3290415.1911002169</v>
      </c>
      <c r="O74" s="40">
        <f t="shared" si="26"/>
        <v>8446966.7171102781</v>
      </c>
      <c r="P74" s="40">
        <f t="shared" si="26"/>
        <v>5042260.1539450148</v>
      </c>
      <c r="Q74" s="40">
        <f t="shared" si="26"/>
        <v>7407926.3978998121</v>
      </c>
      <c r="R74" s="40">
        <f t="shared" si="26"/>
        <v>154650.28716914868</v>
      </c>
      <c r="T74" s="96">
        <f t="shared" si="25"/>
        <v>0</v>
      </c>
    </row>
    <row r="75" spans="1:20" x14ac:dyDescent="0.25">
      <c r="A75" s="22"/>
      <c r="B75" s="16"/>
      <c r="C75" s="21"/>
      <c r="D75" s="21"/>
      <c r="E75" s="21"/>
      <c r="F75" s="23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T75" s="96">
        <f t="shared" si="25"/>
        <v>0</v>
      </c>
    </row>
    <row r="76" spans="1:20" x14ac:dyDescent="0.25">
      <c r="A76" s="25"/>
      <c r="B76" s="24" t="s">
        <v>235</v>
      </c>
      <c r="C76" s="26"/>
      <c r="D76" s="26"/>
      <c r="E76" s="26"/>
      <c r="F76" s="27">
        <f t="shared" ref="F76:R76" si="27">F16+F21+F36+F60+F74</f>
        <v>10754417110.815201</v>
      </c>
      <c r="G76" s="40">
        <f t="shared" si="27"/>
        <v>6245684259.173522</v>
      </c>
      <c r="H76" s="40">
        <f t="shared" si="27"/>
        <v>1341382223.4004421</v>
      </c>
      <c r="I76" s="40">
        <f t="shared" si="27"/>
        <v>1311277805.7556999</v>
      </c>
      <c r="J76" s="40">
        <f t="shared" si="27"/>
        <v>742981160.49841261</v>
      </c>
      <c r="K76" s="40">
        <f t="shared" si="27"/>
        <v>550887425.01838303</v>
      </c>
      <c r="L76" s="40">
        <f t="shared" si="27"/>
        <v>2923828.3543237499</v>
      </c>
      <c r="M76" s="40">
        <f t="shared" si="27"/>
        <v>70084727.393597484</v>
      </c>
      <c r="N76" s="40">
        <f t="shared" si="27"/>
        <v>72317352.818607792</v>
      </c>
      <c r="O76" s="40">
        <f t="shared" si="27"/>
        <v>187221782.67197728</v>
      </c>
      <c r="P76" s="40">
        <f t="shared" si="27"/>
        <v>115664428.03656586</v>
      </c>
      <c r="Q76" s="40">
        <f t="shared" si="27"/>
        <v>110555105.84794153</v>
      </c>
      <c r="R76" s="40">
        <f t="shared" si="27"/>
        <v>3437011.8457281594</v>
      </c>
      <c r="T76" s="96">
        <f t="shared" si="25"/>
        <v>0</v>
      </c>
    </row>
    <row r="77" spans="1:20" x14ac:dyDescent="0.25">
      <c r="A77" s="22"/>
      <c r="B77" s="16"/>
      <c r="C77" s="21"/>
      <c r="D77" s="21"/>
      <c r="E77" s="21"/>
      <c r="F77" s="23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20" x14ac:dyDescent="0.25">
      <c r="A78" s="22"/>
      <c r="B78" s="20" t="s">
        <v>236</v>
      </c>
      <c r="C78" s="21"/>
      <c r="D78" s="21"/>
      <c r="E78" s="21"/>
      <c r="F78" s="23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20" x14ac:dyDescent="0.25">
      <c r="A79" s="22"/>
      <c r="B79" s="20" t="s">
        <v>184</v>
      </c>
      <c r="C79" s="21"/>
      <c r="D79" s="21"/>
      <c r="E79" s="21"/>
      <c r="F79" s="23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20" x14ac:dyDescent="0.25">
      <c r="A80" s="22">
        <v>111</v>
      </c>
      <c r="B80" s="16" t="s">
        <v>237</v>
      </c>
      <c r="C80" s="21" t="str">
        <f>INDEX('Alloc Amt'!B:B,MATCH('Rate Base'!D:D,'Alloc Amt'!D:D,0))</f>
        <v>Total Production Plant</v>
      </c>
      <c r="D80" s="21">
        <v>73</v>
      </c>
      <c r="E80" s="21"/>
      <c r="F80" s="23">
        <v>-11848339.393578827</v>
      </c>
      <c r="G80" s="39">
        <f t="shared" ref="G80:R82" si="28">INDEX(Alloc,($D80),(G$1))*$F80</f>
        <v>-6245227.838903999</v>
      </c>
      <c r="H80" s="39">
        <f t="shared" si="28"/>
        <v>-1569148.6854714754</v>
      </c>
      <c r="I80" s="39">
        <f t="shared" si="28"/>
        <v>-1737780.3541184182</v>
      </c>
      <c r="J80" s="39">
        <f t="shared" si="28"/>
        <v>-1099255.3890882016</v>
      </c>
      <c r="K80" s="39">
        <f t="shared" si="28"/>
        <v>-765839.84137411939</v>
      </c>
      <c r="L80" s="39">
        <f t="shared" si="28"/>
        <v>-2203.1856011708383</v>
      </c>
      <c r="M80" s="39">
        <f t="shared" si="28"/>
        <v>-60741.918159363813</v>
      </c>
      <c r="N80" s="39">
        <f t="shared" si="28"/>
        <v>0</v>
      </c>
      <c r="O80" s="39">
        <f t="shared" si="28"/>
        <v>-325071.32588677353</v>
      </c>
      <c r="P80" s="39">
        <f t="shared" si="28"/>
        <v>0</v>
      </c>
      <c r="Q80" s="39">
        <f t="shared" si="28"/>
        <v>-39035.513581288316</v>
      </c>
      <c r="R80" s="39">
        <f t="shared" si="28"/>
        <v>-4035.3413940175601</v>
      </c>
      <c r="T80" s="96">
        <f t="shared" ref="T80:T83" si="29">F80-SUM(G80:R80)</f>
        <v>0</v>
      </c>
    </row>
    <row r="81" spans="1:20" x14ac:dyDescent="0.25">
      <c r="A81" s="22">
        <v>111.01</v>
      </c>
      <c r="B81" s="16" t="s">
        <v>238</v>
      </c>
      <c r="C81" s="21" t="str">
        <f>INDEX('Alloc Amt'!B:B,MATCH('Rate Base'!D:D,'Alloc Amt'!D:D,0))</f>
        <v>Total Distribution Plant</v>
      </c>
      <c r="D81" s="21">
        <v>68</v>
      </c>
      <c r="E81" s="21"/>
      <c r="F81" s="23">
        <v>-15836820.280835493</v>
      </c>
      <c r="G81" s="39">
        <f t="shared" si="28"/>
        <v>-10530098.920585956</v>
      </c>
      <c r="H81" s="39">
        <f t="shared" si="28"/>
        <v>-1877256.2123941337</v>
      </c>
      <c r="I81" s="39">
        <f t="shared" si="28"/>
        <v>-1490429.1841956305</v>
      </c>
      <c r="J81" s="39">
        <f t="shared" si="28"/>
        <v>-634671.0593212645</v>
      </c>
      <c r="K81" s="39">
        <f t="shared" si="28"/>
        <v>-559267.81125244696</v>
      </c>
      <c r="L81" s="39">
        <f t="shared" si="28"/>
        <v>-6377.6066578994587</v>
      </c>
      <c r="M81" s="39">
        <f t="shared" si="28"/>
        <v>-138348.61667286829</v>
      </c>
      <c r="N81" s="39">
        <f t="shared" si="28"/>
        <v>-190417.81488489572</v>
      </c>
      <c r="O81" s="39">
        <f t="shared" si="28"/>
        <v>-72568.842170510252</v>
      </c>
      <c r="P81" s="39">
        <f t="shared" si="28"/>
        <v>-25072.850007089448</v>
      </c>
      <c r="Q81" s="39">
        <f t="shared" si="28"/>
        <v>-307451.75267736841</v>
      </c>
      <c r="R81" s="39">
        <f t="shared" si="28"/>
        <v>-4859.6100154269279</v>
      </c>
      <c r="T81" s="96">
        <f t="shared" si="29"/>
        <v>0</v>
      </c>
    </row>
    <row r="82" spans="1:20" x14ac:dyDescent="0.25">
      <c r="A82" s="22">
        <v>111.02</v>
      </c>
      <c r="B82" s="16" t="s">
        <v>239</v>
      </c>
      <c r="C82" s="21" t="str">
        <f>INDEX('Alloc Amt'!B:B,MATCH('Rate Base'!D:D,'Alloc Amt'!D:D,0))</f>
        <v>Total General Plant</v>
      </c>
      <c r="D82" s="21">
        <v>70</v>
      </c>
      <c r="E82" s="21"/>
      <c r="F82" s="23">
        <v>-157655053.77670544</v>
      </c>
      <c r="G82" s="39">
        <f t="shared" si="28"/>
        <v>-95981198.988577366</v>
      </c>
      <c r="H82" s="39">
        <f t="shared" si="28"/>
        <v>-19077285.85134146</v>
      </c>
      <c r="I82" s="39">
        <f t="shared" si="28"/>
        <v>-17316194.457301009</v>
      </c>
      <c r="J82" s="39">
        <f t="shared" si="28"/>
        <v>-9849933.2603235729</v>
      </c>
      <c r="K82" s="39">
        <f t="shared" si="28"/>
        <v>-7358172.7984476332</v>
      </c>
      <c r="L82" s="39">
        <f t="shared" si="28"/>
        <v>-38599.613920659889</v>
      </c>
      <c r="M82" s="39">
        <f t="shared" si="28"/>
        <v>-927889.96320993267</v>
      </c>
      <c r="N82" s="39">
        <f t="shared" si="28"/>
        <v>-960510.74449377041</v>
      </c>
      <c r="O82" s="39">
        <f t="shared" si="28"/>
        <v>-2465768.5486349869</v>
      </c>
      <c r="P82" s="39">
        <f t="shared" si="28"/>
        <v>-1471894.8136078827</v>
      </c>
      <c r="Q82" s="39">
        <f t="shared" si="28"/>
        <v>-2162460.5061535193</v>
      </c>
      <c r="R82" s="39">
        <f t="shared" si="28"/>
        <v>-45144.230693679106</v>
      </c>
      <c r="T82" s="96">
        <f t="shared" si="29"/>
        <v>0</v>
      </c>
    </row>
    <row r="83" spans="1:20" x14ac:dyDescent="0.25">
      <c r="A83" s="25"/>
      <c r="B83" s="24" t="s">
        <v>189</v>
      </c>
      <c r="C83" s="26"/>
      <c r="D83" s="26"/>
      <c r="E83" s="26"/>
      <c r="F83" s="27">
        <f>SUM(F80:F82)</f>
        <v>-185340213.45111978</v>
      </c>
      <c r="G83" s="40">
        <f t="shared" ref="G83:R83" si="30">SUM(G80:G82)</f>
        <v>-112756525.74806732</v>
      </c>
      <c r="H83" s="40">
        <f t="shared" si="30"/>
        <v>-22523690.749207068</v>
      </c>
      <c r="I83" s="40">
        <f t="shared" si="30"/>
        <v>-20544403.995615058</v>
      </c>
      <c r="J83" s="40">
        <f t="shared" si="30"/>
        <v>-11583859.708733039</v>
      </c>
      <c r="K83" s="40">
        <f t="shared" si="30"/>
        <v>-8683280.4510741998</v>
      </c>
      <c r="L83" s="40">
        <f t="shared" si="30"/>
        <v>-47180.406179730184</v>
      </c>
      <c r="M83" s="40">
        <f t="shared" si="30"/>
        <v>-1126980.4980421648</v>
      </c>
      <c r="N83" s="40">
        <f t="shared" si="30"/>
        <v>-1150928.5593786661</v>
      </c>
      <c r="O83" s="40">
        <f t="shared" si="30"/>
        <v>-2863408.7166922707</v>
      </c>
      <c r="P83" s="40">
        <f t="shared" si="30"/>
        <v>-1496967.6636149723</v>
      </c>
      <c r="Q83" s="40">
        <f t="shared" si="30"/>
        <v>-2508947.7724121762</v>
      </c>
      <c r="R83" s="40">
        <f t="shared" si="30"/>
        <v>-54039.182103123596</v>
      </c>
      <c r="T83" s="96">
        <f t="shared" si="29"/>
        <v>0</v>
      </c>
    </row>
    <row r="84" spans="1:20" x14ac:dyDescent="0.25">
      <c r="A84" s="22"/>
      <c r="B84" s="16"/>
      <c r="C84" s="21"/>
      <c r="D84" s="21"/>
      <c r="E84" s="21"/>
      <c r="F84" s="23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20" x14ac:dyDescent="0.25">
      <c r="A85" s="22"/>
      <c r="B85" s="20" t="s">
        <v>190</v>
      </c>
      <c r="C85" s="21"/>
      <c r="D85" s="21"/>
      <c r="E85" s="21"/>
      <c r="F85" s="23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20" x14ac:dyDescent="0.25">
      <c r="A86" s="22">
        <v>108.01</v>
      </c>
      <c r="B86" s="16" t="s">
        <v>240</v>
      </c>
      <c r="C86" s="21" t="str">
        <f>INDEX('Alloc Amt'!B:B,MATCH('Rate Base'!D:D,'Alloc Amt'!D:D,0))</f>
        <v>Total Production Plant</v>
      </c>
      <c r="D86" s="21">
        <v>73</v>
      </c>
      <c r="E86" s="21"/>
      <c r="F86" s="23">
        <v>-945433620.17765331</v>
      </c>
      <c r="G86" s="39">
        <f t="shared" ref="G86:R88" si="31">INDEX(Alloc,($D86),(G$1))*$F86</f>
        <v>-498335519.30232257</v>
      </c>
      <c r="H86" s="39">
        <f t="shared" si="31"/>
        <v>-125209607.272585</v>
      </c>
      <c r="I86" s="39">
        <f t="shared" si="31"/>
        <v>-138665505.4933838</v>
      </c>
      <c r="J86" s="39">
        <f t="shared" si="31"/>
        <v>-87714654.9809912</v>
      </c>
      <c r="K86" s="39">
        <f t="shared" si="31"/>
        <v>-61109891.407990105</v>
      </c>
      <c r="L86" s="39">
        <f t="shared" si="31"/>
        <v>-175802.33563929491</v>
      </c>
      <c r="M86" s="39">
        <f t="shared" si="31"/>
        <v>-4846877.6656638235</v>
      </c>
      <c r="N86" s="39">
        <f t="shared" si="31"/>
        <v>0</v>
      </c>
      <c r="O86" s="39">
        <f t="shared" si="31"/>
        <v>-25938939.647157677</v>
      </c>
      <c r="P86" s="39">
        <f t="shared" si="31"/>
        <v>0</v>
      </c>
      <c r="Q86" s="39">
        <f t="shared" si="31"/>
        <v>-3114823.5794673627</v>
      </c>
      <c r="R86" s="39">
        <f t="shared" si="31"/>
        <v>-321998.49245256832</v>
      </c>
      <c r="T86" s="96">
        <f t="shared" ref="T86:T89" si="32">F86-SUM(G86:R86)</f>
        <v>0</v>
      </c>
    </row>
    <row r="87" spans="1:20" x14ac:dyDescent="0.25">
      <c r="A87" s="22">
        <v>108.02</v>
      </c>
      <c r="B87" s="16" t="s">
        <v>241</v>
      </c>
      <c r="C87" s="21" t="str">
        <f>INDEX('Alloc Amt'!B:B,MATCH('Rate Base'!D:D,'Alloc Amt'!D:D,0))</f>
        <v>Total Production Plant</v>
      </c>
      <c r="D87" s="21">
        <v>73</v>
      </c>
      <c r="E87" s="21"/>
      <c r="F87" s="23">
        <v>-183522621.94999999</v>
      </c>
      <c r="G87" s="39">
        <f t="shared" si="31"/>
        <v>-96734280.610829026</v>
      </c>
      <c r="H87" s="39">
        <f t="shared" si="31"/>
        <v>-24305033.087015372</v>
      </c>
      <c r="I87" s="39">
        <f t="shared" si="31"/>
        <v>-26917021.564545188</v>
      </c>
      <c r="J87" s="39">
        <f t="shared" si="31"/>
        <v>-17026709.355360433</v>
      </c>
      <c r="K87" s="39">
        <f t="shared" si="31"/>
        <v>-11862332.012443917</v>
      </c>
      <c r="L87" s="39">
        <f t="shared" si="31"/>
        <v>-34125.828501206423</v>
      </c>
      <c r="M87" s="39">
        <f t="shared" si="31"/>
        <v>-940850.5033979807</v>
      </c>
      <c r="N87" s="39">
        <f t="shared" si="31"/>
        <v>0</v>
      </c>
      <c r="O87" s="39">
        <f t="shared" si="31"/>
        <v>-5035131.0901707476</v>
      </c>
      <c r="P87" s="39">
        <f t="shared" si="31"/>
        <v>0</v>
      </c>
      <c r="Q87" s="39">
        <f t="shared" si="31"/>
        <v>-604633.23708344484</v>
      </c>
      <c r="R87" s="39">
        <f t="shared" si="31"/>
        <v>-62504.660652683859</v>
      </c>
      <c r="T87" s="96">
        <f t="shared" si="32"/>
        <v>0</v>
      </c>
    </row>
    <row r="88" spans="1:20" x14ac:dyDescent="0.25">
      <c r="A88" s="22">
        <v>108.03</v>
      </c>
      <c r="B88" s="16" t="s">
        <v>242</v>
      </c>
      <c r="C88" s="21" t="str">
        <f>INDEX('Alloc Amt'!B:B,MATCH('Rate Base'!D:D,'Alloc Amt'!D:D,0))</f>
        <v>Total Production Plant</v>
      </c>
      <c r="D88" s="21">
        <v>73</v>
      </c>
      <c r="E88" s="21"/>
      <c r="F88" s="23">
        <v>-789161667.84000003</v>
      </c>
      <c r="G88" s="39">
        <f t="shared" si="31"/>
        <v>-415964993.3779971</v>
      </c>
      <c r="H88" s="39">
        <f t="shared" si="31"/>
        <v>-104513548.48821369</v>
      </c>
      <c r="I88" s="39">
        <f t="shared" si="31"/>
        <v>-115745303.79665671</v>
      </c>
      <c r="J88" s="39">
        <f t="shared" si="31"/>
        <v>-73216185.612060294</v>
      </c>
      <c r="K88" s="39">
        <f t="shared" si="31"/>
        <v>-51008958.001714438</v>
      </c>
      <c r="L88" s="39">
        <f t="shared" si="31"/>
        <v>-146743.7390022199</v>
      </c>
      <c r="M88" s="39">
        <f t="shared" si="31"/>
        <v>-4045730.9543667082</v>
      </c>
      <c r="N88" s="39">
        <f t="shared" si="31"/>
        <v>0</v>
      </c>
      <c r="O88" s="39">
        <f t="shared" si="31"/>
        <v>-21651458.586913381</v>
      </c>
      <c r="P88" s="39">
        <f t="shared" si="31"/>
        <v>0</v>
      </c>
      <c r="Q88" s="39">
        <f t="shared" si="31"/>
        <v>-2599970.3401048183</v>
      </c>
      <c r="R88" s="39">
        <f t="shared" si="31"/>
        <v>-268774.94297070347</v>
      </c>
      <c r="T88" s="96">
        <f t="shared" si="32"/>
        <v>0</v>
      </c>
    </row>
    <row r="89" spans="1:20" x14ac:dyDescent="0.25">
      <c r="A89" s="25"/>
      <c r="B89" s="24" t="s">
        <v>189</v>
      </c>
      <c r="C89" s="26"/>
      <c r="D89" s="26"/>
      <c r="E89" s="26"/>
      <c r="F89" s="27">
        <f>SUM(F86:F88)</f>
        <v>-1918117909.9676533</v>
      </c>
      <c r="G89" s="40">
        <f t="shared" ref="G89:R89" si="33">SUM(G86:G88)</f>
        <v>-1011034793.2911487</v>
      </c>
      <c r="H89" s="40">
        <f t="shared" si="33"/>
        <v>-254028188.84781405</v>
      </c>
      <c r="I89" s="40">
        <f t="shared" si="33"/>
        <v>-281327830.85458571</v>
      </c>
      <c r="J89" s="40">
        <f t="shared" si="33"/>
        <v>-177957549.94841194</v>
      </c>
      <c r="K89" s="40">
        <f t="shared" si="33"/>
        <v>-123981181.42214847</v>
      </c>
      <c r="L89" s="40">
        <f t="shared" si="33"/>
        <v>-356671.90314272122</v>
      </c>
      <c r="M89" s="40">
        <f t="shared" si="33"/>
        <v>-9833459.1234285124</v>
      </c>
      <c r="N89" s="40">
        <f t="shared" si="33"/>
        <v>0</v>
      </c>
      <c r="O89" s="40">
        <f t="shared" si="33"/>
        <v>-52625529.324241802</v>
      </c>
      <c r="P89" s="40">
        <f t="shared" si="33"/>
        <v>0</v>
      </c>
      <c r="Q89" s="40">
        <f t="shared" si="33"/>
        <v>-6319427.1566556264</v>
      </c>
      <c r="R89" s="40">
        <f t="shared" si="33"/>
        <v>-653278.09607595566</v>
      </c>
      <c r="T89" s="96">
        <f t="shared" si="32"/>
        <v>0</v>
      </c>
    </row>
    <row r="90" spans="1:20" x14ac:dyDescent="0.25">
      <c r="A90" s="22"/>
      <c r="B90" s="16"/>
      <c r="C90" s="21"/>
      <c r="D90" s="21"/>
      <c r="E90" s="21"/>
      <c r="F90" s="23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1:20" x14ac:dyDescent="0.25">
      <c r="A91" s="22"/>
      <c r="B91" s="20" t="s">
        <v>243</v>
      </c>
      <c r="C91" s="21"/>
      <c r="D91" s="21"/>
      <c r="E91" s="21"/>
      <c r="F91" s="23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20" s="71" customFormat="1" x14ac:dyDescent="0.25">
      <c r="A92" s="22" t="s">
        <v>244</v>
      </c>
      <c r="B92" s="16" t="s">
        <v>245</v>
      </c>
      <c r="C92" s="21"/>
      <c r="E92" s="37">
        <v>-348915488.81225431</v>
      </c>
      <c r="F92" s="23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  <row r="93" spans="1:20" s="71" customFormat="1" x14ac:dyDescent="0.25">
      <c r="A93" s="22"/>
      <c r="B93" s="16" t="s">
        <v>322</v>
      </c>
      <c r="C93" s="21" t="str">
        <f>INDEX('Alloc Amt'!B:B,MATCH('Rate Base'!D:D,'Alloc Amt'!D:D,0))</f>
        <v>4 CP Winter Peak - No Interruptibles</v>
      </c>
      <c r="D93" s="21">
        <v>29</v>
      </c>
      <c r="E93" s="38">
        <v>0.11</v>
      </c>
      <c r="F93" s="23">
        <f>E92*E93</f>
        <v>-38380703.769347973</v>
      </c>
      <c r="G93" s="65">
        <f t="shared" ref="G93:R97" si="34">INDEX(Alloc,($D93),(G$1))*$F93</f>
        <v>-20522896.030996915</v>
      </c>
      <c r="H93" s="65">
        <f t="shared" si="34"/>
        <v>-4731615.0941738533</v>
      </c>
      <c r="I93" s="65">
        <f t="shared" si="34"/>
        <v>-5064427.4755350677</v>
      </c>
      <c r="J93" s="65">
        <f t="shared" si="34"/>
        <v>-2660940.6087187072</v>
      </c>
      <c r="K93" s="65">
        <f t="shared" si="34"/>
        <v>-1879748.6515723888</v>
      </c>
      <c r="L93" s="65">
        <f t="shared" si="34"/>
        <v>-64.239103147299872</v>
      </c>
      <c r="M93" s="65">
        <f t="shared" si="34"/>
        <v>0</v>
      </c>
      <c r="N93" s="65">
        <f t="shared" si="34"/>
        <v>-484481.25499931915</v>
      </c>
      <c r="O93" s="65">
        <f t="shared" si="34"/>
        <v>-638471.12445859378</v>
      </c>
      <c r="P93" s="65">
        <f t="shared" si="34"/>
        <v>-2310996.0040730033</v>
      </c>
      <c r="Q93" s="65">
        <f t="shared" si="34"/>
        <v>-73955.514454294287</v>
      </c>
      <c r="R93" s="65">
        <f t="shared" si="34"/>
        <v>-13107.771262688851</v>
      </c>
      <c r="T93" s="96">
        <f t="shared" ref="T93:T97" si="35">F93-SUM(G93:R93)</f>
        <v>0</v>
      </c>
    </row>
    <row r="94" spans="1:20" s="71" customFormat="1" x14ac:dyDescent="0.25">
      <c r="A94" s="22"/>
      <c r="B94" s="16" t="s">
        <v>323</v>
      </c>
      <c r="C94" s="21" t="str">
        <f>INDEX('Alloc Amt'!B:B,MATCH('Rate Base'!D:D,'Alloc Amt'!D:D,0))</f>
        <v>Annual kWhs</v>
      </c>
      <c r="D94" s="21">
        <v>51</v>
      </c>
      <c r="E94" s="38">
        <v>0.89</v>
      </c>
      <c r="F94" s="23">
        <f>E92*E94</f>
        <v>-310534785.04290634</v>
      </c>
      <c r="G94" s="65">
        <f t="shared" si="34"/>
        <v>-145786606.56692427</v>
      </c>
      <c r="H94" s="65">
        <f t="shared" si="34"/>
        <v>-37042666.088647053</v>
      </c>
      <c r="I94" s="65">
        <f t="shared" si="34"/>
        <v>-41194281.411723576</v>
      </c>
      <c r="J94" s="65">
        <f t="shared" si="34"/>
        <v>-26585381.122678235</v>
      </c>
      <c r="K94" s="65">
        <f t="shared" si="34"/>
        <v>-18496587.212157484</v>
      </c>
      <c r="L94" s="65">
        <f t="shared" si="34"/>
        <v>-58404.978473025796</v>
      </c>
      <c r="M94" s="65">
        <f t="shared" si="34"/>
        <v>-1611949.0658410464</v>
      </c>
      <c r="N94" s="65">
        <f t="shared" si="34"/>
        <v>-4447235.7854257282</v>
      </c>
      <c r="O94" s="65">
        <f t="shared" si="34"/>
        <v>-8006074.9911142364</v>
      </c>
      <c r="P94" s="65">
        <f t="shared" si="34"/>
        <v>-26247218.651630204</v>
      </c>
      <c r="Q94" s="65">
        <f t="shared" si="34"/>
        <v>-964030.68276804686</v>
      </c>
      <c r="R94" s="65">
        <f t="shared" si="34"/>
        <v>-94348.485523503477</v>
      </c>
      <c r="T94" s="96">
        <f t="shared" si="35"/>
        <v>0</v>
      </c>
    </row>
    <row r="95" spans="1:20" x14ac:dyDescent="0.25">
      <c r="A95" s="22" t="s">
        <v>246</v>
      </c>
      <c r="B95" s="16" t="s">
        <v>247</v>
      </c>
      <c r="C95" s="21" t="str">
        <f>INDEX('Alloc Amt'!B:B,MATCH('Rate Base'!D:D,'Alloc Amt'!D:D,0))</f>
        <v>Total Production Plant</v>
      </c>
      <c r="D95" s="21">
        <v>73</v>
      </c>
      <c r="E95" s="21"/>
      <c r="F95" s="23">
        <v>-54709537.547322765</v>
      </c>
      <c r="G95" s="39">
        <f t="shared" si="34"/>
        <v>-28837250.149102982</v>
      </c>
      <c r="H95" s="39">
        <f t="shared" si="34"/>
        <v>-7245521.5936554438</v>
      </c>
      <c r="I95" s="39">
        <f t="shared" si="34"/>
        <v>-8024175.9097621785</v>
      </c>
      <c r="J95" s="39">
        <f t="shared" si="34"/>
        <v>-5075796.0238723774</v>
      </c>
      <c r="K95" s="39">
        <f t="shared" si="34"/>
        <v>-3536254.5049646362</v>
      </c>
      <c r="L95" s="39">
        <f t="shared" si="34"/>
        <v>-10173.17797600401</v>
      </c>
      <c r="M95" s="39">
        <f t="shared" si="34"/>
        <v>-280474.93761337554</v>
      </c>
      <c r="N95" s="39">
        <f t="shared" si="34"/>
        <v>0</v>
      </c>
      <c r="O95" s="39">
        <f t="shared" si="34"/>
        <v>-1501012.194063135</v>
      </c>
      <c r="P95" s="39">
        <f t="shared" si="34"/>
        <v>0</v>
      </c>
      <c r="Q95" s="39">
        <f t="shared" si="34"/>
        <v>-180245.92518947515</v>
      </c>
      <c r="R95" s="39">
        <f t="shared" si="34"/>
        <v>-18633.131123161111</v>
      </c>
      <c r="T95" s="96">
        <f t="shared" si="35"/>
        <v>0</v>
      </c>
    </row>
    <row r="96" spans="1:20" x14ac:dyDescent="0.25">
      <c r="A96" s="22" t="s">
        <v>248</v>
      </c>
      <c r="B96" s="16" t="s">
        <v>249</v>
      </c>
      <c r="C96" s="21" t="str">
        <f>INDEX('Alloc Amt'!B:B,MATCH('Rate Base'!D:D,'Alloc Amt'!D:D,0))</f>
        <v>Schedule 449 / 459 Retail Revenue</v>
      </c>
      <c r="D96" s="21">
        <v>6</v>
      </c>
      <c r="E96" s="21"/>
      <c r="F96" s="23">
        <v>-290302.21785940375</v>
      </c>
      <c r="G96" s="39">
        <f t="shared" si="34"/>
        <v>0</v>
      </c>
      <c r="H96" s="39">
        <f t="shared" si="34"/>
        <v>0</v>
      </c>
      <c r="I96" s="39">
        <f t="shared" si="34"/>
        <v>0</v>
      </c>
      <c r="J96" s="39">
        <f t="shared" si="34"/>
        <v>0</v>
      </c>
      <c r="K96" s="39">
        <f t="shared" si="34"/>
        <v>0</v>
      </c>
      <c r="L96" s="39">
        <f t="shared" si="34"/>
        <v>0</v>
      </c>
      <c r="M96" s="39">
        <f t="shared" si="34"/>
        <v>0</v>
      </c>
      <c r="N96" s="39">
        <f t="shared" si="34"/>
        <v>0</v>
      </c>
      <c r="O96" s="39">
        <f t="shared" si="34"/>
        <v>0</v>
      </c>
      <c r="P96" s="39">
        <f t="shared" si="34"/>
        <v>-290302.21785940375</v>
      </c>
      <c r="Q96" s="39">
        <f t="shared" si="34"/>
        <v>0</v>
      </c>
      <c r="R96" s="39">
        <f t="shared" si="34"/>
        <v>0</v>
      </c>
      <c r="T96" s="96">
        <f t="shared" si="35"/>
        <v>0</v>
      </c>
    </row>
    <row r="97" spans="1:20" x14ac:dyDescent="0.25">
      <c r="A97" s="22" t="s">
        <v>250</v>
      </c>
      <c r="B97" s="16" t="s">
        <v>251</v>
      </c>
      <c r="C97" s="21" t="str">
        <f>INDEX('Alloc Amt'!B:B,MATCH('Rate Base'!D:D,'Alloc Amt'!D:D,0))</f>
        <v>Total Production Plant</v>
      </c>
      <c r="D97" s="21">
        <v>73</v>
      </c>
      <c r="E97" s="21"/>
      <c r="F97" s="23">
        <v>-115786862.48999999</v>
      </c>
      <c r="G97" s="39">
        <f t="shared" si="34"/>
        <v>-61030943.913860828</v>
      </c>
      <c r="H97" s="39">
        <f t="shared" si="34"/>
        <v>-15334368.558813786</v>
      </c>
      <c r="I97" s="39">
        <f t="shared" si="34"/>
        <v>-16982306.820918642</v>
      </c>
      <c r="J97" s="39">
        <f t="shared" si="34"/>
        <v>-10742377.336584881</v>
      </c>
      <c r="K97" s="39">
        <f t="shared" si="34"/>
        <v>-7484103.0001727743</v>
      </c>
      <c r="L97" s="39">
        <f t="shared" si="34"/>
        <v>-21530.438972820652</v>
      </c>
      <c r="M97" s="39">
        <f t="shared" si="34"/>
        <v>-593595.09309031675</v>
      </c>
      <c r="N97" s="39">
        <f t="shared" si="34"/>
        <v>0</v>
      </c>
      <c r="O97" s="39">
        <f t="shared" si="34"/>
        <v>-3176731.1569663645</v>
      </c>
      <c r="P97" s="39">
        <f t="shared" si="34"/>
        <v>0</v>
      </c>
      <c r="Q97" s="39">
        <f t="shared" si="34"/>
        <v>-381471.14908884611</v>
      </c>
      <c r="R97" s="39">
        <f t="shared" si="34"/>
        <v>-39435.021530741702</v>
      </c>
      <c r="T97" s="96">
        <f t="shared" si="35"/>
        <v>0</v>
      </c>
    </row>
    <row r="98" spans="1:20" x14ac:dyDescent="0.25">
      <c r="A98" s="25"/>
      <c r="B98" s="24" t="s">
        <v>189</v>
      </c>
      <c r="C98" s="26"/>
      <c r="D98" s="26"/>
      <c r="E98" s="26"/>
      <c r="F98" s="27">
        <f>SUM(F92:F97)</f>
        <v>-519702191.06743646</v>
      </c>
      <c r="G98" s="40">
        <f t="shared" ref="G98:R98" si="36">SUM(G92:G97)</f>
        <v>-256177696.66088501</v>
      </c>
      <c r="H98" s="40">
        <f t="shared" si="36"/>
        <v>-64354171.335290141</v>
      </c>
      <c r="I98" s="40">
        <f t="shared" si="36"/>
        <v>-71265191.617939472</v>
      </c>
      <c r="J98" s="40">
        <f t="shared" si="36"/>
        <v>-45064495.0918542</v>
      </c>
      <c r="K98" s="40">
        <f t="shared" si="36"/>
        <v>-31396693.368867282</v>
      </c>
      <c r="L98" s="40">
        <f t="shared" si="36"/>
        <v>-90172.834524997772</v>
      </c>
      <c r="M98" s="40">
        <f t="shared" si="36"/>
        <v>-2486019.0965447389</v>
      </c>
      <c r="N98" s="40">
        <f t="shared" si="36"/>
        <v>-4931717.0404250473</v>
      </c>
      <c r="O98" s="40">
        <f t="shared" si="36"/>
        <v>-13322289.466602329</v>
      </c>
      <c r="P98" s="40">
        <f t="shared" si="36"/>
        <v>-28848516.873562612</v>
      </c>
      <c r="Q98" s="40">
        <f t="shared" si="36"/>
        <v>-1599703.2715006622</v>
      </c>
      <c r="R98" s="40">
        <f t="shared" si="36"/>
        <v>-165524.40944009516</v>
      </c>
      <c r="T98" s="96">
        <f>F98-SUM(G98:R98)</f>
        <v>0</v>
      </c>
    </row>
    <row r="99" spans="1:20" x14ac:dyDescent="0.25">
      <c r="A99" s="22"/>
      <c r="B99" s="16"/>
      <c r="C99" s="21"/>
      <c r="D99" s="21"/>
      <c r="E99" s="21"/>
      <c r="F99" s="23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1:20" x14ac:dyDescent="0.25">
      <c r="A100" s="22"/>
      <c r="B100" s="20" t="s">
        <v>197</v>
      </c>
      <c r="C100" s="21"/>
      <c r="D100" s="21"/>
      <c r="E100" s="21"/>
      <c r="F100" s="23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20" x14ac:dyDescent="0.25">
      <c r="A101" s="22" t="s">
        <v>252</v>
      </c>
      <c r="B101" s="16" t="s">
        <v>253</v>
      </c>
      <c r="C101" s="21" t="str">
        <f>INDEX('Alloc Amt'!B:B,MATCH('Rate Base'!D:D,'Alloc Amt'!D:D,0))</f>
        <v>Direct Assign Substation Ease - Accum Depr</v>
      </c>
      <c r="D101" s="21">
        <v>31</v>
      </c>
      <c r="E101" s="21"/>
      <c r="F101" s="23">
        <v>-12148.752</v>
      </c>
      <c r="G101" s="39">
        <f t="shared" ref="G101:R110" si="37">INDEX(Alloc,($D101),(G$1))*$F101</f>
        <v>0</v>
      </c>
      <c r="H101" s="39">
        <f t="shared" si="37"/>
        <v>0</v>
      </c>
      <c r="I101" s="39">
        <f t="shared" si="37"/>
        <v>0</v>
      </c>
      <c r="J101" s="39">
        <f t="shared" si="37"/>
        <v>0</v>
      </c>
      <c r="K101" s="39">
        <f t="shared" si="37"/>
        <v>0</v>
      </c>
      <c r="L101" s="39">
        <f t="shared" si="37"/>
        <v>0</v>
      </c>
      <c r="M101" s="39">
        <f t="shared" si="37"/>
        <v>0</v>
      </c>
      <c r="N101" s="39">
        <f t="shared" si="37"/>
        <v>0</v>
      </c>
      <c r="O101" s="39">
        <f t="shared" si="37"/>
        <v>-12148.752</v>
      </c>
      <c r="P101" s="39">
        <f t="shared" si="37"/>
        <v>0</v>
      </c>
      <c r="Q101" s="39">
        <f t="shared" si="37"/>
        <v>0</v>
      </c>
      <c r="R101" s="39">
        <f t="shared" si="37"/>
        <v>0</v>
      </c>
      <c r="T101" s="96">
        <f t="shared" ref="T101:T164" si="38">F101-SUM(G101:R101)</f>
        <v>0</v>
      </c>
    </row>
    <row r="102" spans="1:20" x14ac:dyDescent="0.25">
      <c r="A102" s="22" t="s">
        <v>254</v>
      </c>
      <c r="B102" s="16" t="s">
        <v>255</v>
      </c>
      <c r="C102" s="21" t="str">
        <f>INDEX('Alloc Amt'!B:B,MATCH('Rate Base'!D:D,'Alloc Amt'!D:D,0))</f>
        <v>Allocate Substation Land - 12 NCP</v>
      </c>
      <c r="D102" s="21">
        <v>42</v>
      </c>
      <c r="E102" s="21"/>
      <c r="F102" s="23">
        <v>-3385851.2480000001</v>
      </c>
      <c r="G102" s="39">
        <f t="shared" si="37"/>
        <v>-1536714.3043749435</v>
      </c>
      <c r="H102" s="39">
        <f t="shared" si="37"/>
        <v>-495399.86428581859</v>
      </c>
      <c r="I102" s="39">
        <f t="shared" si="37"/>
        <v>-644531.56114183192</v>
      </c>
      <c r="J102" s="39">
        <f t="shared" si="37"/>
        <v>-378796.5244031999</v>
      </c>
      <c r="K102" s="39">
        <f t="shared" si="37"/>
        <v>-312002.0550782698</v>
      </c>
      <c r="L102" s="39">
        <f t="shared" si="37"/>
        <v>-68.296062896354968</v>
      </c>
      <c r="M102" s="39">
        <f t="shared" si="37"/>
        <v>-15950.235052794173</v>
      </c>
      <c r="N102" s="39">
        <f t="shared" si="37"/>
        <v>0</v>
      </c>
      <c r="O102" s="39">
        <f t="shared" si="37"/>
        <v>0</v>
      </c>
      <c r="P102" s="39">
        <f t="shared" si="37"/>
        <v>0</v>
      </c>
      <c r="Q102" s="39">
        <f t="shared" si="37"/>
        <v>-2181.1049042825821</v>
      </c>
      <c r="R102" s="39">
        <f t="shared" si="37"/>
        <v>-207.30269596317845</v>
      </c>
      <c r="T102" s="96">
        <f t="shared" si="38"/>
        <v>0</v>
      </c>
    </row>
    <row r="103" spans="1:20" x14ac:dyDescent="0.25">
      <c r="A103" s="22" t="s">
        <v>256</v>
      </c>
      <c r="B103" s="16" t="s">
        <v>200</v>
      </c>
      <c r="C103" s="21" t="str">
        <f>INDEX('Alloc Amt'!B:B,MATCH('Rate Base'!D:D,'Alloc Amt'!D:D,0))</f>
        <v>Direct Assign Substation Structures - Accum Depr</v>
      </c>
      <c r="D103" s="21">
        <v>32</v>
      </c>
      <c r="E103" s="21"/>
      <c r="F103" s="23">
        <v>-233909.65067088912</v>
      </c>
      <c r="G103" s="39">
        <f t="shared" si="37"/>
        <v>0</v>
      </c>
      <c r="H103" s="39">
        <f t="shared" si="37"/>
        <v>0</v>
      </c>
      <c r="I103" s="39">
        <f t="shared" si="37"/>
        <v>0</v>
      </c>
      <c r="J103" s="39">
        <f t="shared" si="37"/>
        <v>0</v>
      </c>
      <c r="K103" s="39">
        <f t="shared" si="37"/>
        <v>-10967.308000000001</v>
      </c>
      <c r="L103" s="39">
        <f t="shared" si="37"/>
        <v>0</v>
      </c>
      <c r="M103" s="39">
        <f t="shared" si="37"/>
        <v>0</v>
      </c>
      <c r="N103" s="39">
        <f t="shared" si="37"/>
        <v>-64314.79908808913</v>
      </c>
      <c r="O103" s="39">
        <f t="shared" si="37"/>
        <v>-57917.228582800002</v>
      </c>
      <c r="P103" s="39">
        <f t="shared" si="37"/>
        <v>-100710.315</v>
      </c>
      <c r="Q103" s="39">
        <f t="shared" si="37"/>
        <v>0</v>
      </c>
      <c r="R103" s="39">
        <f t="shared" si="37"/>
        <v>0</v>
      </c>
      <c r="T103" s="96">
        <f t="shared" si="38"/>
        <v>0</v>
      </c>
    </row>
    <row r="104" spans="1:20" x14ac:dyDescent="0.25">
      <c r="A104" s="22" t="s">
        <v>257</v>
      </c>
      <c r="B104" s="16" t="s">
        <v>201</v>
      </c>
      <c r="C104" s="21" t="str">
        <f>INDEX('Alloc Amt'!B:B,MATCH('Rate Base'!D:D,'Alloc Amt'!D:D,0))</f>
        <v>Allocate Substation Structures - 12 NCP</v>
      </c>
      <c r="D104" s="21">
        <v>43</v>
      </c>
      <c r="E104" s="21"/>
      <c r="F104" s="23">
        <v>-2350398.6893291106</v>
      </c>
      <c r="G104" s="39">
        <f t="shared" si="37"/>
        <v>-1196523.6828054921</v>
      </c>
      <c r="H104" s="39">
        <f t="shared" si="37"/>
        <v>-329384.14714868448</v>
      </c>
      <c r="I104" s="39">
        <f t="shared" si="37"/>
        <v>-409088.22790763038</v>
      </c>
      <c r="J104" s="39">
        <f t="shared" si="37"/>
        <v>-237919.47065308262</v>
      </c>
      <c r="K104" s="39">
        <f t="shared" si="37"/>
        <v>-156194.14895802576</v>
      </c>
      <c r="L104" s="39">
        <f t="shared" si="37"/>
        <v>-0.33967581482413345</v>
      </c>
      <c r="M104" s="39">
        <f t="shared" si="37"/>
        <v>-19203.062677360151</v>
      </c>
      <c r="N104" s="39">
        <f t="shared" si="37"/>
        <v>0</v>
      </c>
      <c r="O104" s="39">
        <f t="shared" si="37"/>
        <v>0</v>
      </c>
      <c r="P104" s="39">
        <f t="shared" si="37"/>
        <v>0</v>
      </c>
      <c r="Q104" s="39">
        <f t="shared" si="37"/>
        <v>-1818.1147988461746</v>
      </c>
      <c r="R104" s="39">
        <f t="shared" si="37"/>
        <v>-267.49470417400511</v>
      </c>
      <c r="T104" s="96">
        <f t="shared" si="38"/>
        <v>0</v>
      </c>
    </row>
    <row r="105" spans="1:20" x14ac:dyDescent="0.25">
      <c r="A105" s="22" t="s">
        <v>258</v>
      </c>
      <c r="B105" s="16" t="s">
        <v>202</v>
      </c>
      <c r="C105" s="21" t="str">
        <f>INDEX('Alloc Amt'!B:B,MATCH('Rate Base'!D:D,'Alloc Amt'!D:D,0))</f>
        <v>Direct Assign Substation Equipment - Accum Depr</v>
      </c>
      <c r="D105" s="21">
        <v>33</v>
      </c>
      <c r="E105" s="21"/>
      <c r="F105" s="23">
        <v>-11586662.121254718</v>
      </c>
      <c r="G105" s="39">
        <f t="shared" si="37"/>
        <v>0</v>
      </c>
      <c r="H105" s="39">
        <f t="shared" si="37"/>
        <v>0</v>
      </c>
      <c r="I105" s="39">
        <f t="shared" si="37"/>
        <v>0</v>
      </c>
      <c r="J105" s="39">
        <f t="shared" si="37"/>
        <v>0</v>
      </c>
      <c r="K105" s="39">
        <f t="shared" si="37"/>
        <v>-698898.21200000006</v>
      </c>
      <c r="L105" s="39">
        <f t="shared" si="37"/>
        <v>0</v>
      </c>
      <c r="M105" s="39">
        <f t="shared" si="37"/>
        <v>0</v>
      </c>
      <c r="N105" s="39">
        <f t="shared" si="37"/>
        <v>-3115650.3046919182</v>
      </c>
      <c r="O105" s="39">
        <f t="shared" si="37"/>
        <v>-4407970.1745627997</v>
      </c>
      <c r="P105" s="39">
        <f t="shared" si="37"/>
        <v>-3364143.4299999997</v>
      </c>
      <c r="Q105" s="39">
        <f t="shared" si="37"/>
        <v>0</v>
      </c>
      <c r="R105" s="39">
        <f t="shared" si="37"/>
        <v>0</v>
      </c>
      <c r="T105" s="96">
        <f t="shared" si="38"/>
        <v>0</v>
      </c>
    </row>
    <row r="106" spans="1:20" x14ac:dyDescent="0.25">
      <c r="A106" s="22" t="s">
        <v>259</v>
      </c>
      <c r="B106" s="16" t="s">
        <v>203</v>
      </c>
      <c r="C106" s="21" t="str">
        <f>INDEX('Alloc Amt'!B:B,MATCH('Rate Base'!D:D,'Alloc Amt'!D:D,0))</f>
        <v>Allocate Substation Equipment - 12 NCP</v>
      </c>
      <c r="D106" s="21">
        <v>44</v>
      </c>
      <c r="E106" s="21"/>
      <c r="F106" s="23">
        <v>-125501319.31874529</v>
      </c>
      <c r="G106" s="39">
        <f t="shared" si="37"/>
        <v>-70054303.221883804</v>
      </c>
      <c r="H106" s="39">
        <f t="shared" si="37"/>
        <v>-16937305.614666715</v>
      </c>
      <c r="I106" s="39">
        <f t="shared" si="37"/>
        <v>-18610535.875498135</v>
      </c>
      <c r="J106" s="39">
        <f t="shared" si="37"/>
        <v>-9902511.1893525105</v>
      </c>
      <c r="K106" s="39">
        <f t="shared" si="37"/>
        <v>-8816063.1958567835</v>
      </c>
      <c r="L106" s="39">
        <f t="shared" si="37"/>
        <v>-32416.630794771561</v>
      </c>
      <c r="M106" s="39">
        <f t="shared" si="37"/>
        <v>-1012427.2144749047</v>
      </c>
      <c r="N106" s="39">
        <f t="shared" si="37"/>
        <v>0</v>
      </c>
      <c r="O106" s="39">
        <f t="shared" si="37"/>
        <v>0</v>
      </c>
      <c r="P106" s="39">
        <f t="shared" si="37"/>
        <v>0</v>
      </c>
      <c r="Q106" s="39">
        <f t="shared" si="37"/>
        <v>-101244.80588646964</v>
      </c>
      <c r="R106" s="39">
        <f t="shared" si="37"/>
        <v>-34511.570331189971</v>
      </c>
      <c r="T106" s="96">
        <f t="shared" si="38"/>
        <v>0</v>
      </c>
    </row>
    <row r="107" spans="1:20" x14ac:dyDescent="0.25">
      <c r="A107" s="22" t="s">
        <v>260</v>
      </c>
      <c r="B107" s="16" t="s">
        <v>204</v>
      </c>
      <c r="C107" s="21" t="str">
        <f>INDEX('Alloc Amt'!B:B,MATCH('Rate Base'!D:D,'Alloc Amt'!D:D,0))</f>
        <v>Allocate Substation Equipment - 12 NCP</v>
      </c>
      <c r="D107" s="21">
        <v>44</v>
      </c>
      <c r="E107" s="21"/>
      <c r="F107" s="23">
        <v>-124550.5</v>
      </c>
      <c r="G107" s="39">
        <f t="shared" si="37"/>
        <v>-69523.559917939448</v>
      </c>
      <c r="H107" s="39">
        <f t="shared" si="37"/>
        <v>-16808.985709558652</v>
      </c>
      <c r="I107" s="39">
        <f t="shared" si="37"/>
        <v>-18469.539293640028</v>
      </c>
      <c r="J107" s="39">
        <f t="shared" si="37"/>
        <v>-9827.4880820733397</v>
      </c>
      <c r="K107" s="39">
        <f t="shared" si="37"/>
        <v>-8749.2712031717492</v>
      </c>
      <c r="L107" s="39">
        <f t="shared" si="37"/>
        <v>-32.171036892049152</v>
      </c>
      <c r="M107" s="39">
        <f t="shared" si="37"/>
        <v>-1004.7568938792994</v>
      </c>
      <c r="N107" s="39">
        <f t="shared" si="37"/>
        <v>0</v>
      </c>
      <c r="O107" s="39">
        <f t="shared" si="37"/>
        <v>0</v>
      </c>
      <c r="P107" s="39">
        <f t="shared" si="37"/>
        <v>0</v>
      </c>
      <c r="Q107" s="39">
        <f t="shared" si="37"/>
        <v>-100.47775803484522</v>
      </c>
      <c r="R107" s="39">
        <f t="shared" si="37"/>
        <v>-34.250104810594202</v>
      </c>
      <c r="T107" s="96">
        <f t="shared" si="38"/>
        <v>0</v>
      </c>
    </row>
    <row r="108" spans="1:20" x14ac:dyDescent="0.25">
      <c r="A108" s="22" t="s">
        <v>261</v>
      </c>
      <c r="B108" s="16" t="s">
        <v>205</v>
      </c>
      <c r="C108" s="21" t="str">
        <f>INDEX('Alloc Amt'!B:B,MATCH('Rate Base'!D:D,'Alloc Amt'!D:D,0))</f>
        <v>Allocate Overhead Lines - 12 NCP</v>
      </c>
      <c r="D108" s="21">
        <v>45</v>
      </c>
      <c r="E108" s="21"/>
      <c r="F108" s="23">
        <v>-149346565.32902548</v>
      </c>
      <c r="G108" s="39">
        <f t="shared" si="37"/>
        <v>-102931601.96611065</v>
      </c>
      <c r="H108" s="39">
        <f t="shared" si="37"/>
        <v>-18807377.896459486</v>
      </c>
      <c r="I108" s="39">
        <f t="shared" si="37"/>
        <v>-14621410.245547814</v>
      </c>
      <c r="J108" s="39">
        <f t="shared" si="37"/>
        <v>-5784000.7412238782</v>
      </c>
      <c r="K108" s="39">
        <f t="shared" si="37"/>
        <v>-5414081.5071386537</v>
      </c>
      <c r="L108" s="39">
        <f t="shared" si="37"/>
        <v>-135607.05093797357</v>
      </c>
      <c r="M108" s="39">
        <f t="shared" si="37"/>
        <v>-1458975.8599808973</v>
      </c>
      <c r="N108" s="39">
        <f t="shared" si="37"/>
        <v>0</v>
      </c>
      <c r="O108" s="39">
        <f t="shared" si="37"/>
        <v>0</v>
      </c>
      <c r="P108" s="39">
        <f t="shared" si="37"/>
        <v>0</v>
      </c>
      <c r="Q108" s="39">
        <f t="shared" si="37"/>
        <v>-90454.703225219113</v>
      </c>
      <c r="R108" s="39">
        <f t="shared" si="37"/>
        <v>-103055.35840087153</v>
      </c>
      <c r="T108" s="96">
        <f t="shared" si="38"/>
        <v>0</v>
      </c>
    </row>
    <row r="109" spans="1:20" x14ac:dyDescent="0.25">
      <c r="A109" s="22" t="s">
        <v>262</v>
      </c>
      <c r="B109" s="16" t="s">
        <v>263</v>
      </c>
      <c r="C109" s="21" t="str">
        <f>INDEX('Alloc Amt'!B:B,MATCH('Rate Base'!D:D,'Alloc Amt'!D:D,0))</f>
        <v>Direct Assign OH Dist Lines - Accum Depr</v>
      </c>
      <c r="D109" s="21">
        <v>34</v>
      </c>
      <c r="E109" s="21"/>
      <c r="F109" s="23">
        <v>-55883.055832029437</v>
      </c>
      <c r="G109" s="39">
        <f t="shared" si="37"/>
        <v>0</v>
      </c>
      <c r="H109" s="39">
        <f t="shared" si="37"/>
        <v>0</v>
      </c>
      <c r="I109" s="39">
        <f t="shared" si="37"/>
        <v>0</v>
      </c>
      <c r="J109" s="39">
        <f t="shared" si="37"/>
        <v>0</v>
      </c>
      <c r="K109" s="39">
        <f t="shared" si="37"/>
        <v>0</v>
      </c>
      <c r="L109" s="39">
        <f t="shared" si="37"/>
        <v>0</v>
      </c>
      <c r="M109" s="39">
        <f t="shared" si="37"/>
        <v>0</v>
      </c>
      <c r="N109" s="39">
        <f t="shared" si="37"/>
        <v>-55883.055832029437</v>
      </c>
      <c r="O109" s="39">
        <f t="shared" si="37"/>
        <v>0</v>
      </c>
      <c r="P109" s="39">
        <f t="shared" si="37"/>
        <v>0</v>
      </c>
      <c r="Q109" s="39">
        <f t="shared" si="37"/>
        <v>0</v>
      </c>
      <c r="R109" s="39">
        <f t="shared" si="37"/>
        <v>0</v>
      </c>
      <c r="T109" s="96">
        <f t="shared" si="38"/>
        <v>0</v>
      </c>
    </row>
    <row r="110" spans="1:20" x14ac:dyDescent="0.25">
      <c r="A110" s="22" t="s">
        <v>264</v>
      </c>
      <c r="B110" s="16" t="s">
        <v>207</v>
      </c>
      <c r="C110" s="21" t="str">
        <f>INDEX('Alloc Amt'!B:B,MATCH('Rate Base'!D:D,'Alloc Amt'!D:D,0))</f>
        <v>Allocate Overhead Lines - 12 NCP</v>
      </c>
      <c r="D110" s="21">
        <v>45</v>
      </c>
      <c r="E110" s="21"/>
      <c r="F110" s="23">
        <v>-132596941.81008512</v>
      </c>
      <c r="G110" s="39">
        <f t="shared" si="37"/>
        <v>-91387542.835353374</v>
      </c>
      <c r="H110" s="39">
        <f t="shared" si="37"/>
        <v>-16698079.309979618</v>
      </c>
      <c r="I110" s="39">
        <f t="shared" si="37"/>
        <v>-12981579.316799255</v>
      </c>
      <c r="J110" s="39">
        <f t="shared" si="37"/>
        <v>-5135309.3258214826</v>
      </c>
      <c r="K110" s="39">
        <f t="shared" si="37"/>
        <v>-4806877.5400059372</v>
      </c>
      <c r="L110" s="39">
        <f t="shared" si="37"/>
        <v>-120398.35132897504</v>
      </c>
      <c r="M110" s="39">
        <f t="shared" si="37"/>
        <v>-1295347.7489221364</v>
      </c>
      <c r="N110" s="39">
        <f t="shared" si="37"/>
        <v>0</v>
      </c>
      <c r="O110" s="39">
        <f t="shared" si="37"/>
        <v>0</v>
      </c>
      <c r="P110" s="39">
        <f t="shared" si="37"/>
        <v>0</v>
      </c>
      <c r="Q110" s="39">
        <f t="shared" si="37"/>
        <v>-80309.962224968986</v>
      </c>
      <c r="R110" s="39">
        <f t="shared" si="37"/>
        <v>-91497.419649342759</v>
      </c>
      <c r="T110" s="96">
        <f t="shared" si="38"/>
        <v>0</v>
      </c>
    </row>
    <row r="111" spans="1:20" x14ac:dyDescent="0.25">
      <c r="A111" s="22" t="s">
        <v>265</v>
      </c>
      <c r="B111" s="16" t="s">
        <v>266</v>
      </c>
      <c r="C111" s="21" t="str">
        <f>INDEX('Alloc Amt'!B:B,MATCH('Rate Base'!D:D,'Alloc Amt'!D:D,0))</f>
        <v>Direct Assign UG Dist Lines</v>
      </c>
      <c r="D111" s="21">
        <v>35</v>
      </c>
      <c r="E111" s="21"/>
      <c r="F111" s="23">
        <v>-16526870.952044467</v>
      </c>
      <c r="G111" s="39">
        <f t="shared" ref="G111:R121" si="39">INDEX(Alloc,($D111),(G$1))*$F111</f>
        <v>0</v>
      </c>
      <c r="H111" s="39">
        <f t="shared" si="39"/>
        <v>0</v>
      </c>
      <c r="I111" s="39">
        <f t="shared" si="39"/>
        <v>0</v>
      </c>
      <c r="J111" s="39">
        <f t="shared" si="39"/>
        <v>0</v>
      </c>
      <c r="K111" s="39">
        <f t="shared" si="39"/>
        <v>0</v>
      </c>
      <c r="L111" s="39">
        <f t="shared" si="39"/>
        <v>0</v>
      </c>
      <c r="M111" s="39">
        <f t="shared" si="39"/>
        <v>0</v>
      </c>
      <c r="N111" s="39">
        <f t="shared" si="39"/>
        <v>-14546761.500330182</v>
      </c>
      <c r="O111" s="39">
        <f t="shared" si="39"/>
        <v>-1954966.5945714284</v>
      </c>
      <c r="P111" s="39">
        <f t="shared" si="39"/>
        <v>-25142.857142857145</v>
      </c>
      <c r="Q111" s="39">
        <f t="shared" si="39"/>
        <v>0</v>
      </c>
      <c r="R111" s="39">
        <f t="shared" si="39"/>
        <v>0</v>
      </c>
      <c r="T111" s="96">
        <f t="shared" si="38"/>
        <v>0</v>
      </c>
    </row>
    <row r="112" spans="1:20" x14ac:dyDescent="0.25">
      <c r="A112" s="22" t="s">
        <v>267</v>
      </c>
      <c r="B112" s="16" t="s">
        <v>268</v>
      </c>
      <c r="C112" s="21" t="str">
        <f>INDEX('Alloc Amt'!B:B,MATCH('Rate Base'!D:D,'Alloc Amt'!D:D,0))</f>
        <v>Allocate Underground Lines - 12 NCP</v>
      </c>
      <c r="D112" s="21">
        <v>47</v>
      </c>
      <c r="E112" s="21"/>
      <c r="F112" s="23">
        <v>-274285943.71102428</v>
      </c>
      <c r="G112" s="39">
        <f t="shared" si="39"/>
        <v>-184592940.76400334</v>
      </c>
      <c r="H112" s="39">
        <f t="shared" si="39"/>
        <v>-32892203.765319232</v>
      </c>
      <c r="I112" s="39">
        <f t="shared" si="39"/>
        <v>-30694312.544480834</v>
      </c>
      <c r="J112" s="39">
        <f t="shared" si="39"/>
        <v>-13326619.640014224</v>
      </c>
      <c r="K112" s="39">
        <f t="shared" si="39"/>
        <v>-9505607.5138858818</v>
      </c>
      <c r="L112" s="39">
        <f t="shared" si="39"/>
        <v>-112886.73968415053</v>
      </c>
      <c r="M112" s="39">
        <f t="shared" si="39"/>
        <v>-2959808.7096463661</v>
      </c>
      <c r="N112" s="39">
        <f t="shared" si="39"/>
        <v>0</v>
      </c>
      <c r="O112" s="39">
        <f t="shared" si="39"/>
        <v>0</v>
      </c>
      <c r="P112" s="39">
        <f t="shared" si="39"/>
        <v>0</v>
      </c>
      <c r="Q112" s="39">
        <f t="shared" si="39"/>
        <v>-126487.55169428916</v>
      </c>
      <c r="R112" s="39">
        <f t="shared" si="39"/>
        <v>-75076.482295965165</v>
      </c>
      <c r="T112" s="96">
        <f t="shared" si="38"/>
        <v>0</v>
      </c>
    </row>
    <row r="113" spans="1:20" x14ac:dyDescent="0.25">
      <c r="A113" s="22" t="s">
        <v>269</v>
      </c>
      <c r="B113" s="16" t="s">
        <v>270</v>
      </c>
      <c r="C113" s="21" t="str">
        <f>INDEX('Alloc Amt'!B:B,MATCH('Rate Base'!D:D,'Alloc Amt'!D:D,0))</f>
        <v>Allocate Underground Lines - 12 NCP</v>
      </c>
      <c r="D113" s="21">
        <v>47</v>
      </c>
      <c r="E113" s="21"/>
      <c r="F113" s="23">
        <v>-387170816.60218024</v>
      </c>
      <c r="G113" s="39">
        <f t="shared" si="39"/>
        <v>-260563843.14718542</v>
      </c>
      <c r="H113" s="39">
        <f t="shared" si="39"/>
        <v>-46429289.154827751</v>
      </c>
      <c r="I113" s="39">
        <f t="shared" si="39"/>
        <v>-43326835.827247471</v>
      </c>
      <c r="J113" s="39">
        <f t="shared" si="39"/>
        <v>-18811311.0674274</v>
      </c>
      <c r="K113" s="39">
        <f t="shared" si="39"/>
        <v>-13417726.674788753</v>
      </c>
      <c r="L113" s="39">
        <f t="shared" si="39"/>
        <v>-159346.30333487858</v>
      </c>
      <c r="M113" s="39">
        <f t="shared" si="39"/>
        <v>-4177944.8833417199</v>
      </c>
      <c r="N113" s="39">
        <f t="shared" si="39"/>
        <v>0</v>
      </c>
      <c r="O113" s="39">
        <f t="shared" si="39"/>
        <v>0</v>
      </c>
      <c r="P113" s="39">
        <f t="shared" si="39"/>
        <v>0</v>
      </c>
      <c r="Q113" s="39">
        <f t="shared" si="39"/>
        <v>-178544.65313426155</v>
      </c>
      <c r="R113" s="39">
        <f t="shared" si="39"/>
        <v>-105974.89089259393</v>
      </c>
      <c r="T113" s="96">
        <f t="shared" si="38"/>
        <v>0</v>
      </c>
    </row>
    <row r="114" spans="1:20" x14ac:dyDescent="0.25">
      <c r="A114" s="22" t="s">
        <v>271</v>
      </c>
      <c r="B114" s="16" t="s">
        <v>272</v>
      </c>
      <c r="C114" s="21" t="str">
        <f>INDEX('Alloc Amt'!B:B,MATCH('Rate Base'!D:D,'Alloc Amt'!D:D,0))</f>
        <v>Line Transformers</v>
      </c>
      <c r="D114" s="21">
        <v>41</v>
      </c>
      <c r="E114" s="21"/>
      <c r="F114" s="23">
        <v>-1245672</v>
      </c>
      <c r="G114" s="39">
        <f t="shared" si="39"/>
        <v>0</v>
      </c>
      <c r="H114" s="39">
        <f t="shared" si="39"/>
        <v>0</v>
      </c>
      <c r="I114" s="39">
        <f t="shared" si="39"/>
        <v>0</v>
      </c>
      <c r="J114" s="39">
        <f t="shared" si="39"/>
        <v>0</v>
      </c>
      <c r="K114" s="39">
        <f t="shared" si="39"/>
        <v>-412218.0095138941</v>
      </c>
      <c r="L114" s="39">
        <f t="shared" si="39"/>
        <v>0</v>
      </c>
      <c r="M114" s="39">
        <f t="shared" si="39"/>
        <v>-23624.820130172873</v>
      </c>
      <c r="N114" s="39">
        <f t="shared" si="39"/>
        <v>-800130.57324986497</v>
      </c>
      <c r="O114" s="39">
        <f t="shared" si="39"/>
        <v>0</v>
      </c>
      <c r="P114" s="39">
        <f t="shared" si="39"/>
        <v>0</v>
      </c>
      <c r="Q114" s="39">
        <f t="shared" si="39"/>
        <v>0</v>
      </c>
      <c r="R114" s="39">
        <f t="shared" si="39"/>
        <v>-9698.5971060680858</v>
      </c>
      <c r="T114" s="96">
        <f t="shared" si="38"/>
        <v>0</v>
      </c>
    </row>
    <row r="115" spans="1:20" x14ac:dyDescent="0.25">
      <c r="A115" s="22" t="s">
        <v>273</v>
      </c>
      <c r="B115" s="16" t="s">
        <v>274</v>
      </c>
      <c r="C115" s="21" t="str">
        <f>INDEX('Alloc Amt'!B:B,MATCH('Rate Base'!D:D,'Alloc Amt'!D:D,0))</f>
        <v>Allocate Overhead Transformers</v>
      </c>
      <c r="D115" s="21">
        <v>46</v>
      </c>
      <c r="E115" s="21"/>
      <c r="F115" s="23">
        <v>-72954566.067123711</v>
      </c>
      <c r="G115" s="39">
        <f t="shared" si="39"/>
        <v>-54471763.488865152</v>
      </c>
      <c r="H115" s="39">
        <f t="shared" si="39"/>
        <v>-8921362.3803448081</v>
      </c>
      <c r="I115" s="39">
        <f t="shared" si="39"/>
        <v>-1304252.6428713268</v>
      </c>
      <c r="J115" s="39">
        <f t="shared" si="39"/>
        <v>-14707.255189992533</v>
      </c>
      <c r="K115" s="39">
        <f t="shared" si="39"/>
        <v>0</v>
      </c>
      <c r="L115" s="39">
        <f t="shared" si="39"/>
        <v>0</v>
      </c>
      <c r="M115" s="39">
        <f t="shared" si="39"/>
        <v>0</v>
      </c>
      <c r="N115" s="39">
        <f t="shared" si="39"/>
        <v>0</v>
      </c>
      <c r="O115" s="39">
        <f t="shared" si="39"/>
        <v>0</v>
      </c>
      <c r="P115" s="39">
        <f t="shared" si="39"/>
        <v>0</v>
      </c>
      <c r="Q115" s="39">
        <f t="shared" si="39"/>
        <v>-8242480.2998524411</v>
      </c>
      <c r="R115" s="39">
        <f t="shared" si="39"/>
        <v>0</v>
      </c>
      <c r="T115" s="96">
        <f t="shared" si="38"/>
        <v>0</v>
      </c>
    </row>
    <row r="116" spans="1:20" x14ac:dyDescent="0.25">
      <c r="A116" s="22" t="s">
        <v>275</v>
      </c>
      <c r="B116" s="16" t="s">
        <v>276</v>
      </c>
      <c r="C116" s="21" t="str">
        <f>INDEX('Alloc Amt'!B:B,MATCH('Rate Base'!D:D,'Alloc Amt'!D:D,0))</f>
        <v>Allocate Underground Transformers</v>
      </c>
      <c r="D116" s="21">
        <v>48</v>
      </c>
      <c r="E116" s="21"/>
      <c r="F116" s="23">
        <v>-134960859.27036494</v>
      </c>
      <c r="G116" s="39">
        <f t="shared" si="39"/>
        <v>-107817200.16035898</v>
      </c>
      <c r="H116" s="39">
        <f t="shared" si="39"/>
        <v>-16667975.048270775</v>
      </c>
      <c r="I116" s="39">
        <f t="shared" si="39"/>
        <v>-7944274.4123820299</v>
      </c>
      <c r="J116" s="39">
        <f t="shared" si="39"/>
        <v>-2195175.1860408979</v>
      </c>
      <c r="K116" s="39">
        <f t="shared" si="39"/>
        <v>0</v>
      </c>
      <c r="L116" s="39">
        <f t="shared" si="39"/>
        <v>0</v>
      </c>
      <c r="M116" s="39">
        <f t="shared" si="39"/>
        <v>0</v>
      </c>
      <c r="N116" s="39">
        <f t="shared" si="39"/>
        <v>0</v>
      </c>
      <c r="O116" s="39">
        <f t="shared" si="39"/>
        <v>0</v>
      </c>
      <c r="P116" s="39">
        <f t="shared" si="39"/>
        <v>0</v>
      </c>
      <c r="Q116" s="39">
        <f t="shared" si="39"/>
        <v>-336234.46331225522</v>
      </c>
      <c r="R116" s="39">
        <f t="shared" si="39"/>
        <v>0</v>
      </c>
      <c r="T116" s="96">
        <f t="shared" si="38"/>
        <v>0</v>
      </c>
    </row>
    <row r="117" spans="1:20" x14ac:dyDescent="0.25">
      <c r="A117" s="22" t="s">
        <v>277</v>
      </c>
      <c r="B117" s="16" t="s">
        <v>278</v>
      </c>
      <c r="C117" s="21" t="str">
        <f>INDEX('Alloc Amt'!B:B,MATCH('Rate Base'!D:D,'Alloc Amt'!D:D,0))</f>
        <v>Dist OH Services (Sec Voltage Only)</v>
      </c>
      <c r="D117" s="21">
        <v>20</v>
      </c>
      <c r="E117" s="21"/>
      <c r="F117" s="23">
        <v>-33106913.110664558</v>
      </c>
      <c r="G117" s="39">
        <f t="shared" si="39"/>
        <v>-28570731.161835331</v>
      </c>
      <c r="H117" s="39">
        <f t="shared" si="39"/>
        <v>-4365306.1039201962</v>
      </c>
      <c r="I117" s="39">
        <f t="shared" si="39"/>
        <v>-167252.18184545738</v>
      </c>
      <c r="J117" s="39">
        <f t="shared" si="39"/>
        <v>-3623.6630635751485</v>
      </c>
      <c r="K117" s="39">
        <f t="shared" si="39"/>
        <v>0</v>
      </c>
      <c r="L117" s="39">
        <f t="shared" si="39"/>
        <v>0</v>
      </c>
      <c r="M117" s="39">
        <f t="shared" si="39"/>
        <v>0</v>
      </c>
      <c r="N117" s="39">
        <f t="shared" si="39"/>
        <v>0</v>
      </c>
      <c r="O117" s="39">
        <f t="shared" si="39"/>
        <v>0</v>
      </c>
      <c r="P117" s="39">
        <f t="shared" si="39"/>
        <v>0</v>
      </c>
      <c r="Q117" s="39">
        <f t="shared" si="39"/>
        <v>0</v>
      </c>
      <c r="R117" s="39">
        <f t="shared" si="39"/>
        <v>0</v>
      </c>
      <c r="T117" s="96">
        <f t="shared" si="38"/>
        <v>0</v>
      </c>
    </row>
    <row r="118" spans="1:20" x14ac:dyDescent="0.25">
      <c r="A118" s="22" t="s">
        <v>279</v>
      </c>
      <c r="B118" s="16" t="s">
        <v>280</v>
      </c>
      <c r="C118" s="21" t="str">
        <f>INDEX('Alloc Amt'!B:B,MATCH('Rate Base'!D:D,'Alloc Amt'!D:D,0))</f>
        <v>Residential Allocation Only</v>
      </c>
      <c r="D118" s="21">
        <v>24</v>
      </c>
      <c r="E118" s="21"/>
      <c r="F118" s="23">
        <v>-93641215.226628304</v>
      </c>
      <c r="G118" s="39">
        <f t="shared" si="39"/>
        <v>-93641215.226628304</v>
      </c>
      <c r="H118" s="39">
        <f t="shared" si="39"/>
        <v>0</v>
      </c>
      <c r="I118" s="39">
        <f t="shared" si="39"/>
        <v>0</v>
      </c>
      <c r="J118" s="39">
        <f t="shared" si="39"/>
        <v>0</v>
      </c>
      <c r="K118" s="39">
        <f t="shared" si="39"/>
        <v>0</v>
      </c>
      <c r="L118" s="39">
        <f t="shared" si="39"/>
        <v>0</v>
      </c>
      <c r="M118" s="39">
        <f t="shared" si="39"/>
        <v>0</v>
      </c>
      <c r="N118" s="39">
        <f t="shared" si="39"/>
        <v>0</v>
      </c>
      <c r="O118" s="39">
        <f t="shared" si="39"/>
        <v>0</v>
      </c>
      <c r="P118" s="39">
        <f t="shared" si="39"/>
        <v>0</v>
      </c>
      <c r="Q118" s="39">
        <f t="shared" si="39"/>
        <v>0</v>
      </c>
      <c r="R118" s="39">
        <f t="shared" si="39"/>
        <v>0</v>
      </c>
      <c r="T118" s="96">
        <f t="shared" si="38"/>
        <v>0</v>
      </c>
    </row>
    <row r="119" spans="1:20" x14ac:dyDescent="0.25">
      <c r="A119" s="22" t="s">
        <v>281</v>
      </c>
      <c r="B119" s="16" t="s">
        <v>220</v>
      </c>
      <c r="C119" s="21" t="str">
        <f>INDEX('Alloc Amt'!B:B,MATCH('Rate Base'!D:D,'Alloc Amt'!D:D,0))</f>
        <v>Meter Investment</v>
      </c>
      <c r="D119" s="21">
        <v>19</v>
      </c>
      <c r="E119" s="21"/>
      <c r="F119" s="23">
        <v>-39213863.239287503</v>
      </c>
      <c r="G119" s="39">
        <f t="shared" si="39"/>
        <v>-25458658.24115362</v>
      </c>
      <c r="H119" s="39">
        <f t="shared" si="39"/>
        <v>-7145874.7784302495</v>
      </c>
      <c r="I119" s="39">
        <f t="shared" si="39"/>
        <v>-2111863.9488710072</v>
      </c>
      <c r="J119" s="39">
        <f t="shared" si="39"/>
        <v>-237355.39323898061</v>
      </c>
      <c r="K119" s="39">
        <f t="shared" si="39"/>
        <v>-2842995.6880319864</v>
      </c>
      <c r="L119" s="39">
        <f t="shared" si="39"/>
        <v>-9217.8877958739613</v>
      </c>
      <c r="M119" s="39">
        <f t="shared" si="39"/>
        <v>-918804.14483524207</v>
      </c>
      <c r="N119" s="39">
        <f t="shared" si="39"/>
        <v>-185829.47368523726</v>
      </c>
      <c r="O119" s="39">
        <f t="shared" si="39"/>
        <v>-115399.66048185888</v>
      </c>
      <c r="P119" s="39">
        <f t="shared" si="39"/>
        <v>-185792.45871956355</v>
      </c>
      <c r="Q119" s="39">
        <f t="shared" si="39"/>
        <v>0</v>
      </c>
      <c r="R119" s="39">
        <f t="shared" si="39"/>
        <v>-2071.5640438791515</v>
      </c>
      <c r="T119" s="96">
        <f t="shared" si="38"/>
        <v>0</v>
      </c>
    </row>
    <row r="120" spans="1:20" x14ac:dyDescent="0.25">
      <c r="A120" s="22" t="s">
        <v>282</v>
      </c>
      <c r="B120" s="16" t="s">
        <v>221</v>
      </c>
      <c r="C120" s="21" t="str">
        <f>INDEX('Alloc Amt'!B:B,MATCH('Rate Base'!D:D,'Alloc Amt'!D:D,0))</f>
        <v>Str. &amp; Signal Systems</v>
      </c>
      <c r="D120" s="21">
        <v>12</v>
      </c>
      <c r="E120" s="21"/>
      <c r="F120" s="23">
        <v>-20006963.143007282</v>
      </c>
      <c r="G120" s="39">
        <f t="shared" si="39"/>
        <v>0</v>
      </c>
      <c r="H120" s="39">
        <f t="shared" si="39"/>
        <v>0</v>
      </c>
      <c r="I120" s="39">
        <f t="shared" si="39"/>
        <v>0</v>
      </c>
      <c r="J120" s="39">
        <f t="shared" si="39"/>
        <v>0</v>
      </c>
      <c r="K120" s="39">
        <f t="shared" si="39"/>
        <v>0</v>
      </c>
      <c r="L120" s="39">
        <f t="shared" si="39"/>
        <v>0</v>
      </c>
      <c r="M120" s="39">
        <f t="shared" si="39"/>
        <v>0</v>
      </c>
      <c r="N120" s="39">
        <f t="shared" si="39"/>
        <v>0</v>
      </c>
      <c r="O120" s="39">
        <f t="shared" si="39"/>
        <v>0</v>
      </c>
      <c r="P120" s="39">
        <f t="shared" si="39"/>
        <v>0</v>
      </c>
      <c r="Q120" s="39">
        <f t="shared" si="39"/>
        <v>-20006963.143007282</v>
      </c>
      <c r="R120" s="39">
        <f t="shared" si="39"/>
        <v>0</v>
      </c>
      <c r="T120" s="96">
        <f t="shared" si="38"/>
        <v>0</v>
      </c>
    </row>
    <row r="121" spans="1:20" x14ac:dyDescent="0.25">
      <c r="A121" s="22" t="s">
        <v>283</v>
      </c>
      <c r="B121" s="16" t="s">
        <v>222</v>
      </c>
      <c r="C121" s="21" t="str">
        <f>INDEX('Alloc Amt'!B:B,MATCH('Rate Base'!D:D,'Alloc Amt'!D:D,0))</f>
        <v>Total Distribution OH &amp; UG Lines</v>
      </c>
      <c r="D121" s="21">
        <v>71</v>
      </c>
      <c r="E121" s="21"/>
      <c r="F121" s="23">
        <v>-444030</v>
      </c>
      <c r="G121" s="39">
        <f t="shared" si="39"/>
        <v>-297848.20035241882</v>
      </c>
      <c r="H121" s="39">
        <f t="shared" si="39"/>
        <v>-53526.943492957427</v>
      </c>
      <c r="I121" s="39">
        <f t="shared" si="39"/>
        <v>-47097.551984116624</v>
      </c>
      <c r="J121" s="39">
        <f t="shared" si="39"/>
        <v>-19898.990309761586</v>
      </c>
      <c r="K121" s="39">
        <f t="shared" si="39"/>
        <v>-15448.335230700943</v>
      </c>
      <c r="L121" s="39">
        <f t="shared" si="39"/>
        <v>-252.90775445017812</v>
      </c>
      <c r="M121" s="39">
        <f t="shared" si="39"/>
        <v>-4589.3214829353083</v>
      </c>
      <c r="N121" s="39">
        <f t="shared" si="39"/>
        <v>-3991.7044895898039</v>
      </c>
      <c r="O121" s="39">
        <f t="shared" si="39"/>
        <v>-966.01326507160377</v>
      </c>
      <c r="P121" s="39">
        <f t="shared" si="39"/>
        <v>-5.8051893053770307</v>
      </c>
      <c r="Q121" s="39">
        <f t="shared" si="39"/>
        <v>-223.49545310550741</v>
      </c>
      <c r="R121" s="39">
        <f t="shared" si="39"/>
        <v>-180.73099558673977</v>
      </c>
      <c r="T121" s="96">
        <f t="shared" si="38"/>
        <v>0</v>
      </c>
    </row>
    <row r="122" spans="1:20" x14ac:dyDescent="0.25">
      <c r="A122" s="25"/>
      <c r="B122" s="24" t="s">
        <v>189</v>
      </c>
      <c r="C122" s="26"/>
      <c r="D122" s="26"/>
      <c r="E122" s="26"/>
      <c r="F122" s="27">
        <f>SUM(F101:F121)</f>
        <v>-1498751943.7972682</v>
      </c>
      <c r="G122" s="40">
        <f t="shared" ref="G122:R122" si="40">SUM(G101:G121)</f>
        <v>-1022590409.9608288</v>
      </c>
      <c r="H122" s="40">
        <f t="shared" si="40"/>
        <v>-169759893.99285582</v>
      </c>
      <c r="I122" s="40">
        <f t="shared" si="40"/>
        <v>-132881503.87587054</v>
      </c>
      <c r="J122" s="40">
        <f t="shared" si="40"/>
        <v>-56057055.934821069</v>
      </c>
      <c r="K122" s="40">
        <f t="shared" si="40"/>
        <v>-46417829.459692053</v>
      </c>
      <c r="L122" s="40">
        <f t="shared" si="40"/>
        <v>-570226.67840667663</v>
      </c>
      <c r="M122" s="40">
        <f t="shared" si="40"/>
        <v>-11887680.757438408</v>
      </c>
      <c r="N122" s="40">
        <f t="shared" si="40"/>
        <v>-18772561.41136691</v>
      </c>
      <c r="O122" s="40">
        <f t="shared" si="40"/>
        <v>-6549368.4234639583</v>
      </c>
      <c r="P122" s="40">
        <f t="shared" si="40"/>
        <v>-3675794.866051726</v>
      </c>
      <c r="Q122" s="40">
        <f t="shared" si="40"/>
        <v>-29167042.775251456</v>
      </c>
      <c r="R122" s="40">
        <f t="shared" si="40"/>
        <v>-422575.66122044518</v>
      </c>
      <c r="T122" s="96">
        <f t="shared" si="38"/>
        <v>0</v>
      </c>
    </row>
    <row r="123" spans="1:20" x14ac:dyDescent="0.25">
      <c r="A123" s="22"/>
      <c r="B123" s="16"/>
      <c r="C123" s="21"/>
      <c r="D123" s="21"/>
      <c r="E123" s="21"/>
      <c r="F123" s="23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T123" s="96">
        <f t="shared" si="38"/>
        <v>0</v>
      </c>
    </row>
    <row r="124" spans="1:20" x14ac:dyDescent="0.25">
      <c r="A124" s="22"/>
      <c r="B124" s="20" t="s">
        <v>223</v>
      </c>
      <c r="C124" s="21"/>
      <c r="D124" s="21"/>
      <c r="E124" s="21"/>
      <c r="F124" s="23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T124" s="96">
        <f t="shared" si="38"/>
        <v>0</v>
      </c>
    </row>
    <row r="125" spans="1:20" x14ac:dyDescent="0.25">
      <c r="A125" s="22">
        <v>108.06</v>
      </c>
      <c r="B125" s="16" t="s">
        <v>284</v>
      </c>
      <c r="C125" s="21" t="str">
        <f>INDEX('Alloc Amt'!B:B,MATCH('Rate Base'!D:D,'Alloc Amt'!D:D,0))</f>
        <v>Total General Plant</v>
      </c>
      <c r="D125" s="21">
        <v>70</v>
      </c>
      <c r="E125" s="21"/>
      <c r="F125" s="23">
        <v>-185099491.55969805</v>
      </c>
      <c r="G125" s="39">
        <f t="shared" ref="G125:R126" si="41">INDEX(Alloc,($D125),(G$1))*$F125</f>
        <v>-112689512.36564119</v>
      </c>
      <c r="H125" s="39">
        <f t="shared" si="41"/>
        <v>-22398241.139949314</v>
      </c>
      <c r="I125" s="39">
        <f t="shared" si="41"/>
        <v>-20330580.676056132</v>
      </c>
      <c r="J125" s="39">
        <f t="shared" si="41"/>
        <v>-11564600.022052985</v>
      </c>
      <c r="K125" s="39">
        <f t="shared" si="41"/>
        <v>-8639076.3326249979</v>
      </c>
      <c r="L125" s="39">
        <f t="shared" si="41"/>
        <v>-45318.99701251743</v>
      </c>
      <c r="M125" s="39">
        <f t="shared" si="41"/>
        <v>-1089416.1417544291</v>
      </c>
      <c r="N125" s="39">
        <f t="shared" si="41"/>
        <v>-1127715.5167841094</v>
      </c>
      <c r="O125" s="39">
        <f t="shared" si="41"/>
        <v>-2895007.1293158159</v>
      </c>
      <c r="P125" s="39">
        <f t="shared" si="41"/>
        <v>-1728120.8251912787</v>
      </c>
      <c r="Q125" s="39">
        <f t="shared" si="41"/>
        <v>-2538899.5190339168</v>
      </c>
      <c r="R125" s="39">
        <f t="shared" si="41"/>
        <v>-53002.894281390909</v>
      </c>
      <c r="T125" s="96">
        <f t="shared" si="38"/>
        <v>0</v>
      </c>
    </row>
    <row r="126" spans="1:20" x14ac:dyDescent="0.25">
      <c r="A126" s="22">
        <v>108.07</v>
      </c>
      <c r="B126" s="16" t="s">
        <v>285</v>
      </c>
      <c r="C126" s="21" t="str">
        <f>INDEX('Alloc Amt'!B:B,MATCH('Rate Base'!D:D,'Alloc Amt'!D:D,0))</f>
        <v>Total Prod, Trans, Dist &amp; Gen Plant</v>
      </c>
      <c r="D126" s="21">
        <v>74</v>
      </c>
      <c r="E126" s="21"/>
      <c r="F126" s="23">
        <v>14858618.090523999</v>
      </c>
      <c r="G126" s="39">
        <f t="shared" si="41"/>
        <v>8616968.9868640602</v>
      </c>
      <c r="H126" s="39">
        <f t="shared" si="41"/>
        <v>1854504.3995283947</v>
      </c>
      <c r="I126" s="39">
        <f t="shared" si="41"/>
        <v>1816209.3162344131</v>
      </c>
      <c r="J126" s="39">
        <f t="shared" si="41"/>
        <v>1028817.9741237077</v>
      </c>
      <c r="K126" s="39">
        <f t="shared" si="41"/>
        <v>762741.69108537072</v>
      </c>
      <c r="L126" s="39">
        <f t="shared" si="41"/>
        <v>4052.0093285872958</v>
      </c>
      <c r="M126" s="39">
        <f t="shared" si="41"/>
        <v>97109.381840577145</v>
      </c>
      <c r="N126" s="39">
        <f t="shared" si="41"/>
        <v>100575.39916002014</v>
      </c>
      <c r="O126" s="39">
        <f t="shared" si="41"/>
        <v>259226.98975265332</v>
      </c>
      <c r="P126" s="39">
        <f t="shared" si="41"/>
        <v>162276.39054763559</v>
      </c>
      <c r="Q126" s="39">
        <f t="shared" si="41"/>
        <v>151373.68408203928</v>
      </c>
      <c r="R126" s="39">
        <f t="shared" si="41"/>
        <v>4761.8679765381476</v>
      </c>
      <c r="T126" s="96">
        <f t="shared" si="38"/>
        <v>0</v>
      </c>
    </row>
    <row r="127" spans="1:20" x14ac:dyDescent="0.25">
      <c r="A127" s="25"/>
      <c r="B127" s="24" t="s">
        <v>189</v>
      </c>
      <c r="C127" s="26"/>
      <c r="D127" s="26"/>
      <c r="E127" s="26"/>
      <c r="F127" s="27">
        <f>SUM(F125:F126)</f>
        <v>-170240873.46917406</v>
      </c>
      <c r="G127" s="40">
        <f t="shared" ref="G127:R127" si="42">SUM(G125:G126)</f>
        <v>-104072543.37877713</v>
      </c>
      <c r="H127" s="40">
        <f t="shared" si="42"/>
        <v>-20543736.740420919</v>
      </c>
      <c r="I127" s="40">
        <f t="shared" si="42"/>
        <v>-18514371.359821718</v>
      </c>
      <c r="J127" s="40">
        <f t="shared" si="42"/>
        <v>-10535782.047929278</v>
      </c>
      <c r="K127" s="40">
        <f t="shared" si="42"/>
        <v>-7876334.6415396277</v>
      </c>
      <c r="L127" s="40">
        <f t="shared" si="42"/>
        <v>-41266.987683930136</v>
      </c>
      <c r="M127" s="40">
        <f t="shared" si="42"/>
        <v>-992306.75991385197</v>
      </c>
      <c r="N127" s="40">
        <f t="shared" si="42"/>
        <v>-1027140.1176240892</v>
      </c>
      <c r="O127" s="40">
        <f t="shared" si="42"/>
        <v>-2635780.1395631623</v>
      </c>
      <c r="P127" s="40">
        <f t="shared" si="42"/>
        <v>-1565844.4346436432</v>
      </c>
      <c r="Q127" s="40">
        <f t="shared" si="42"/>
        <v>-2387525.8349518776</v>
      </c>
      <c r="R127" s="40">
        <f t="shared" si="42"/>
        <v>-48241.026304852763</v>
      </c>
      <c r="T127" s="96">
        <f t="shared" si="38"/>
        <v>0</v>
      </c>
    </row>
    <row r="128" spans="1:20" x14ac:dyDescent="0.25">
      <c r="A128" s="22"/>
      <c r="B128" s="16"/>
      <c r="C128" s="21"/>
      <c r="D128" s="21"/>
      <c r="E128" s="21"/>
      <c r="F128" s="23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T128" s="96">
        <f t="shared" si="38"/>
        <v>0</v>
      </c>
    </row>
    <row r="129" spans="1:20" x14ac:dyDescent="0.25">
      <c r="A129" s="22"/>
      <c r="B129" s="20" t="s">
        <v>286</v>
      </c>
      <c r="C129" s="21"/>
      <c r="D129" s="21"/>
      <c r="E129" s="21"/>
      <c r="F129" s="23">
        <f>F83+F89+F98+F122+F127</f>
        <v>-4292153131.7526517</v>
      </c>
      <c r="G129" s="41">
        <f t="shared" ref="G129:R129" si="43">G83+G89+G98+G122+G127</f>
        <v>-2506631969.0397067</v>
      </c>
      <c r="H129" s="41">
        <f t="shared" si="43"/>
        <v>-531209681.66558802</v>
      </c>
      <c r="I129" s="41">
        <f t="shared" si="43"/>
        <v>-524533301.70383251</v>
      </c>
      <c r="J129" s="41">
        <f t="shared" si="43"/>
        <v>-301198742.73174953</v>
      </c>
      <c r="K129" s="41">
        <f t="shared" si="43"/>
        <v>-218355319.34332165</v>
      </c>
      <c r="L129" s="41">
        <f t="shared" si="43"/>
        <v>-1105518.8099380562</v>
      </c>
      <c r="M129" s="41">
        <f t="shared" si="43"/>
        <v>-26326446.235367674</v>
      </c>
      <c r="N129" s="41">
        <f t="shared" si="43"/>
        <v>-25882347.128794711</v>
      </c>
      <c r="O129" s="41">
        <f t="shared" si="43"/>
        <v>-77996376.07056351</v>
      </c>
      <c r="P129" s="41">
        <f t="shared" si="43"/>
        <v>-35587123.837872952</v>
      </c>
      <c r="Q129" s="41">
        <f t="shared" si="43"/>
        <v>-41982646.810771793</v>
      </c>
      <c r="R129" s="41">
        <f t="shared" si="43"/>
        <v>-1343658.3751444723</v>
      </c>
      <c r="T129" s="96">
        <f t="shared" si="38"/>
        <v>0</v>
      </c>
    </row>
    <row r="130" spans="1:20" x14ac:dyDescent="0.25">
      <c r="A130" s="22"/>
      <c r="B130" s="20"/>
      <c r="C130" s="21"/>
      <c r="D130" s="21"/>
      <c r="E130" s="21"/>
      <c r="F130" s="23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T130" s="96">
        <f t="shared" si="38"/>
        <v>0</v>
      </c>
    </row>
    <row r="131" spans="1:20" x14ac:dyDescent="0.25">
      <c r="A131" s="22"/>
      <c r="B131" s="20" t="s">
        <v>287</v>
      </c>
      <c r="C131" s="21"/>
      <c r="D131" s="21"/>
      <c r="E131" s="21"/>
      <c r="F131" s="23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T131" s="96">
        <f t="shared" si="38"/>
        <v>0</v>
      </c>
    </row>
    <row r="132" spans="1:20" x14ac:dyDescent="0.25">
      <c r="A132" s="22"/>
      <c r="B132" s="16" t="s">
        <v>288</v>
      </c>
      <c r="C132" s="21"/>
      <c r="D132" s="21"/>
      <c r="E132" s="21"/>
      <c r="F132" s="23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T132" s="96">
        <f t="shared" si="38"/>
        <v>0</v>
      </c>
    </row>
    <row r="133" spans="1:20" x14ac:dyDescent="0.25">
      <c r="A133" s="22" t="s">
        <v>289</v>
      </c>
      <c r="B133" s="16" t="s">
        <v>290</v>
      </c>
      <c r="C133" s="21" t="str">
        <f>INDEX('Alloc Amt'!B:B,MATCH('Rate Base'!D:D,'Alloc Amt'!D:D,0))</f>
        <v>Total Elec Plant In Service</v>
      </c>
      <c r="D133" s="21">
        <v>69</v>
      </c>
      <c r="E133" s="21"/>
      <c r="F133" s="23">
        <v>137375215.95577019</v>
      </c>
      <c r="G133" s="39">
        <f t="shared" ref="G133:R133" si="44">INDEX(Alloc,($D133),(G$1))*$F133</f>
        <v>79781378.670227081</v>
      </c>
      <c r="H133" s="39">
        <f t="shared" si="44"/>
        <v>17134603.458289962</v>
      </c>
      <c r="I133" s="39">
        <f t="shared" si="44"/>
        <v>16750054.409043007</v>
      </c>
      <c r="J133" s="39">
        <f t="shared" si="44"/>
        <v>9490723.3300346974</v>
      </c>
      <c r="K133" s="39">
        <f t="shared" si="44"/>
        <v>7036948.4649347011</v>
      </c>
      <c r="L133" s="39">
        <f t="shared" si="44"/>
        <v>37348.518980995956</v>
      </c>
      <c r="M133" s="39">
        <f t="shared" si="44"/>
        <v>895251.17555784725</v>
      </c>
      <c r="N133" s="39">
        <f t="shared" si="44"/>
        <v>923770.37810957769</v>
      </c>
      <c r="O133" s="39">
        <f t="shared" si="44"/>
        <v>2391541.3137846543</v>
      </c>
      <c r="P133" s="39">
        <f t="shared" si="44"/>
        <v>1477479.0317500927</v>
      </c>
      <c r="Q133" s="39">
        <f t="shared" si="44"/>
        <v>1412213.3616707711</v>
      </c>
      <c r="R133" s="39">
        <f t="shared" si="44"/>
        <v>43903.843386790089</v>
      </c>
      <c r="T133" s="96">
        <f t="shared" si="38"/>
        <v>0</v>
      </c>
    </row>
    <row r="134" spans="1:20" x14ac:dyDescent="0.25">
      <c r="A134" s="25"/>
      <c r="B134" s="24" t="s">
        <v>189</v>
      </c>
      <c r="C134" s="26"/>
      <c r="D134" s="26"/>
      <c r="E134" s="26"/>
      <c r="F134" s="27">
        <f>SUM(F133)</f>
        <v>137375215.95577019</v>
      </c>
      <c r="G134" s="27">
        <f t="shared" ref="G134:R134" si="45">SUM(G133)</f>
        <v>79781378.670227081</v>
      </c>
      <c r="H134" s="27">
        <f t="shared" si="45"/>
        <v>17134603.458289962</v>
      </c>
      <c r="I134" s="27">
        <f t="shared" si="45"/>
        <v>16750054.409043007</v>
      </c>
      <c r="J134" s="27">
        <f t="shared" si="45"/>
        <v>9490723.3300346974</v>
      </c>
      <c r="K134" s="27">
        <f t="shared" si="45"/>
        <v>7036948.4649347011</v>
      </c>
      <c r="L134" s="27">
        <f t="shared" si="45"/>
        <v>37348.518980995956</v>
      </c>
      <c r="M134" s="27">
        <f t="shared" si="45"/>
        <v>895251.17555784725</v>
      </c>
      <c r="N134" s="27">
        <f t="shared" si="45"/>
        <v>923770.37810957769</v>
      </c>
      <c r="O134" s="27">
        <f t="shared" si="45"/>
        <v>2391541.3137846543</v>
      </c>
      <c r="P134" s="27">
        <f t="shared" si="45"/>
        <v>1477479.0317500927</v>
      </c>
      <c r="Q134" s="27">
        <f t="shared" si="45"/>
        <v>1412213.3616707711</v>
      </c>
      <c r="R134" s="27">
        <f t="shared" si="45"/>
        <v>43903.843386790089</v>
      </c>
      <c r="T134" s="96">
        <f t="shared" si="38"/>
        <v>0</v>
      </c>
    </row>
    <row r="135" spans="1:20" x14ac:dyDescent="0.25">
      <c r="A135" s="22"/>
      <c r="B135" s="16"/>
      <c r="C135" s="21"/>
      <c r="D135" s="21"/>
      <c r="E135" s="21"/>
      <c r="F135" s="23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T135" s="96">
        <f t="shared" si="38"/>
        <v>0</v>
      </c>
    </row>
    <row r="136" spans="1:20" x14ac:dyDescent="0.25">
      <c r="A136" s="22"/>
      <c r="B136" s="20" t="s">
        <v>291</v>
      </c>
      <c r="C136" s="21"/>
      <c r="D136" s="21"/>
      <c r="E136" s="21"/>
      <c r="F136" s="23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T136" s="96">
        <f t="shared" si="38"/>
        <v>0</v>
      </c>
    </row>
    <row r="137" spans="1:20" x14ac:dyDescent="0.25">
      <c r="A137" s="22">
        <v>182.01</v>
      </c>
      <c r="B137" s="16" t="s">
        <v>292</v>
      </c>
      <c r="C137" s="21" t="str">
        <f>INDEX('Alloc Amt'!B:B,MATCH('Rate Base'!D:D,'Alloc Amt'!D:D,0))</f>
        <v>Total Production Plant</v>
      </c>
      <c r="D137" s="21">
        <v>73</v>
      </c>
      <c r="E137" s="21"/>
      <c r="F137" s="23">
        <v>189792533.49183738</v>
      </c>
      <c r="G137" s="110">
        <f t="shared" ref="G137:R146" si="46">INDEX(Alloc,($D137),(G$1))*$F137</f>
        <v>100039134.12724411</v>
      </c>
      <c r="H137" s="110">
        <f t="shared" si="46"/>
        <v>25135396.155381598</v>
      </c>
      <c r="I137" s="110">
        <f t="shared" si="46"/>
        <v>27836621.243245333</v>
      </c>
      <c r="J137" s="110">
        <f t="shared" si="46"/>
        <v>17608413.99957465</v>
      </c>
      <c r="K137" s="110">
        <f t="shared" si="46"/>
        <v>12267599.611651348</v>
      </c>
      <c r="L137" s="110">
        <f t="shared" si="46"/>
        <v>35291.711615347915</v>
      </c>
      <c r="M137" s="110">
        <f t="shared" si="46"/>
        <v>972993.94908178144</v>
      </c>
      <c r="N137" s="110">
        <f t="shared" si="46"/>
        <v>0</v>
      </c>
      <c r="O137" s="110">
        <f t="shared" si="46"/>
        <v>5207152.5347288307</v>
      </c>
      <c r="P137" s="110">
        <f t="shared" si="46"/>
        <v>0</v>
      </c>
      <c r="Q137" s="110">
        <f t="shared" si="46"/>
        <v>625290.07421603997</v>
      </c>
      <c r="R137" s="110">
        <f t="shared" si="46"/>
        <v>64640.085098350632</v>
      </c>
      <c r="T137" s="96">
        <f t="shared" si="38"/>
        <v>0</v>
      </c>
    </row>
    <row r="138" spans="1:20" x14ac:dyDescent="0.25">
      <c r="A138" s="22">
        <v>182.02</v>
      </c>
      <c r="B138" s="16" t="s">
        <v>293</v>
      </c>
      <c r="C138" s="21" t="str">
        <f>INDEX('Alloc Amt'!B:B,MATCH('Rate Base'!D:D,'Alloc Amt'!D:D,0))</f>
        <v>Total Production Plant</v>
      </c>
      <c r="D138" s="21">
        <v>73</v>
      </c>
      <c r="E138" s="21"/>
      <c r="F138" s="23">
        <v>282930</v>
      </c>
      <c r="G138" s="110">
        <f t="shared" si="46"/>
        <v>149131.64231425617</v>
      </c>
      <c r="H138" s="110">
        <f t="shared" si="46"/>
        <v>37470.165466482751</v>
      </c>
      <c r="I138" s="110">
        <f t="shared" si="46"/>
        <v>41496.970947437854</v>
      </c>
      <c r="J138" s="110">
        <f t="shared" si="46"/>
        <v>26249.444492050683</v>
      </c>
      <c r="K138" s="110">
        <f t="shared" si="46"/>
        <v>18287.716035329657</v>
      </c>
      <c r="L138" s="110">
        <f t="shared" si="46"/>
        <v>52.610520464756981</v>
      </c>
      <c r="M138" s="110">
        <f t="shared" si="46"/>
        <v>1450.4742254549653</v>
      </c>
      <c r="N138" s="110">
        <f t="shared" si="46"/>
        <v>0</v>
      </c>
      <c r="O138" s="110">
        <f t="shared" si="46"/>
        <v>7762.4743162733012</v>
      </c>
      <c r="P138" s="110">
        <f t="shared" si="46"/>
        <v>0</v>
      </c>
      <c r="Q138" s="110">
        <f t="shared" si="46"/>
        <v>932.14057182893816</v>
      </c>
      <c r="R138" s="110">
        <f t="shared" si="46"/>
        <v>96.361110420937095</v>
      </c>
      <c r="T138" s="96">
        <f t="shared" si="38"/>
        <v>0</v>
      </c>
    </row>
    <row r="139" spans="1:20" x14ac:dyDescent="0.25">
      <c r="A139" s="22">
        <v>182.03</v>
      </c>
      <c r="B139" s="16" t="s">
        <v>294</v>
      </c>
      <c r="C139" s="21" t="str">
        <f>INDEX('Alloc Amt'!B:B,MATCH('Rate Base'!D:D,'Alloc Amt'!D:D,0))</f>
        <v>Total Distribution Plant</v>
      </c>
      <c r="D139" s="21">
        <v>68</v>
      </c>
      <c r="E139" s="21"/>
      <c r="F139" s="23">
        <v>-3679667.3302051304</v>
      </c>
      <c r="G139" s="110">
        <f t="shared" si="46"/>
        <v>-2446656.6075007757</v>
      </c>
      <c r="H139" s="110">
        <f t="shared" si="46"/>
        <v>-436178.36362836423</v>
      </c>
      <c r="I139" s="110">
        <f t="shared" si="46"/>
        <v>-346299.5399212559</v>
      </c>
      <c r="J139" s="110">
        <f t="shared" si="46"/>
        <v>-147465.10479993484</v>
      </c>
      <c r="K139" s="110">
        <f t="shared" si="46"/>
        <v>-129945.24515702782</v>
      </c>
      <c r="L139" s="110">
        <f t="shared" si="46"/>
        <v>-1481.8297137822483</v>
      </c>
      <c r="M139" s="110">
        <f t="shared" si="46"/>
        <v>-32145.145043179662</v>
      </c>
      <c r="N139" s="110">
        <f t="shared" si="46"/>
        <v>-44243.364519890478</v>
      </c>
      <c r="O139" s="110">
        <f t="shared" si="46"/>
        <v>-16861.288629307564</v>
      </c>
      <c r="P139" s="110">
        <f t="shared" si="46"/>
        <v>-5825.648419958784</v>
      </c>
      <c r="Q139" s="110">
        <f t="shared" si="46"/>
        <v>-71436.067965629263</v>
      </c>
      <c r="R139" s="110">
        <f t="shared" si="46"/>
        <v>-1129.1249060231642</v>
      </c>
      <c r="T139" s="96">
        <f t="shared" si="38"/>
        <v>0</v>
      </c>
    </row>
    <row r="140" spans="1:20" x14ac:dyDescent="0.25">
      <c r="A140" s="22">
        <v>182.04</v>
      </c>
      <c r="B140" s="16" t="s">
        <v>295</v>
      </c>
      <c r="C140" s="21" t="str">
        <f>INDEX('Alloc Amt'!B:B,MATCH('Rate Base'!D:D,'Alloc Amt'!D:D,0))</f>
        <v>Total General Plant</v>
      </c>
      <c r="D140" s="21">
        <v>70</v>
      </c>
      <c r="E140" s="21"/>
      <c r="F140" s="23">
        <v>68510052.721862912</v>
      </c>
      <c r="G140" s="110">
        <f t="shared" si="46"/>
        <v>41709268.719850257</v>
      </c>
      <c r="H140" s="110">
        <f t="shared" si="46"/>
        <v>8290161.5150035126</v>
      </c>
      <c r="I140" s="110">
        <f t="shared" si="46"/>
        <v>7524867.5306786187</v>
      </c>
      <c r="J140" s="110">
        <f t="shared" si="46"/>
        <v>4280354.0438822769</v>
      </c>
      <c r="K140" s="110">
        <f t="shared" si="46"/>
        <v>3197542.9539494426</v>
      </c>
      <c r="L140" s="110">
        <f t="shared" si="46"/>
        <v>16773.71908732747</v>
      </c>
      <c r="M140" s="110">
        <f t="shared" si="46"/>
        <v>403220.758083892</v>
      </c>
      <c r="N140" s="110">
        <f t="shared" si="46"/>
        <v>417396.33566321532</v>
      </c>
      <c r="O140" s="110">
        <f t="shared" si="46"/>
        <v>1071516.1310728297</v>
      </c>
      <c r="P140" s="110">
        <f t="shared" si="46"/>
        <v>639621.68586194946</v>
      </c>
      <c r="Q140" s="110">
        <f t="shared" si="46"/>
        <v>939711.60287291801</v>
      </c>
      <c r="R140" s="110">
        <f t="shared" si="46"/>
        <v>19617.725856682202</v>
      </c>
      <c r="T140" s="96">
        <f t="shared" si="38"/>
        <v>0</v>
      </c>
    </row>
    <row r="141" spans="1:20" x14ac:dyDescent="0.25">
      <c r="A141" s="22">
        <v>282</v>
      </c>
      <c r="B141" s="16" t="s">
        <v>296</v>
      </c>
      <c r="C141" s="21" t="str">
        <f>INDEX('Alloc Amt'!B:B,MATCH('Rate Base'!D:D,'Alloc Amt'!D:D,0))</f>
        <v>Total Production Plant</v>
      </c>
      <c r="D141" s="21">
        <v>73</v>
      </c>
      <c r="E141" s="21"/>
      <c r="F141" s="23">
        <v>-14559444.715643</v>
      </c>
      <c r="G141" s="110">
        <f t="shared" si="46"/>
        <v>-7674244.1650848584</v>
      </c>
      <c r="H141" s="110">
        <f t="shared" si="46"/>
        <v>-1928197.0897227267</v>
      </c>
      <c r="I141" s="110">
        <f t="shared" si="46"/>
        <v>-2135414.6056475635</v>
      </c>
      <c r="J141" s="110">
        <f t="shared" si="46"/>
        <v>-1350784.066371016</v>
      </c>
      <c r="K141" s="110">
        <f t="shared" si="46"/>
        <v>-941077.26501876838</v>
      </c>
      <c r="L141" s="110">
        <f t="shared" si="46"/>
        <v>-2707.3126362274552</v>
      </c>
      <c r="M141" s="110">
        <f t="shared" si="46"/>
        <v>-74640.721369160819</v>
      </c>
      <c r="N141" s="110">
        <f t="shared" si="46"/>
        <v>0</v>
      </c>
      <c r="O141" s="110">
        <f t="shared" si="46"/>
        <v>-399453.27700978977</v>
      </c>
      <c r="P141" s="110">
        <f t="shared" si="46"/>
        <v>0</v>
      </c>
      <c r="Q141" s="110">
        <f t="shared" si="46"/>
        <v>-47967.515366879714</v>
      </c>
      <c r="R141" s="110">
        <f t="shared" si="46"/>
        <v>-4958.6974160096288</v>
      </c>
      <c r="T141" s="96">
        <f t="shared" si="38"/>
        <v>0</v>
      </c>
    </row>
    <row r="142" spans="1:20" s="71" customFormat="1" x14ac:dyDescent="0.25">
      <c r="A142" s="22">
        <v>282.01</v>
      </c>
      <c r="B142" s="16" t="s">
        <v>297</v>
      </c>
      <c r="C142" s="21" t="str">
        <f>INDEX('Alloc Amt'!B:B,MATCH('Rate Base'!D:D,'Alloc Amt'!D:D,0))</f>
        <v>Total Production Plant</v>
      </c>
      <c r="D142" s="21">
        <v>73</v>
      </c>
      <c r="E142" s="21"/>
      <c r="F142" s="109">
        <v>10200176.612901218</v>
      </c>
      <c r="G142" s="110">
        <f t="shared" si="46"/>
        <v>5376485.6684601335</v>
      </c>
      <c r="H142" s="110">
        <f t="shared" si="46"/>
        <v>1350872.319912191</v>
      </c>
      <c r="I142" s="110">
        <f t="shared" si="46"/>
        <v>1496046.4869907643</v>
      </c>
      <c r="J142" s="110">
        <f t="shared" si="46"/>
        <v>946343.51185616257</v>
      </c>
      <c r="K142" s="110">
        <f t="shared" si="46"/>
        <v>659307.72066217149</v>
      </c>
      <c r="L142" s="110">
        <f t="shared" si="46"/>
        <v>1896.7115556398228</v>
      </c>
      <c r="M142" s="110">
        <f t="shared" si="46"/>
        <v>52292.416046731516</v>
      </c>
      <c r="N142" s="110">
        <f t="shared" si="46"/>
        <v>0</v>
      </c>
      <c r="O142" s="110">
        <f t="shared" si="46"/>
        <v>279852.29201250238</v>
      </c>
      <c r="P142" s="110">
        <f t="shared" si="46"/>
        <v>0</v>
      </c>
      <c r="Q142" s="110">
        <f t="shared" si="46"/>
        <v>33605.480015218971</v>
      </c>
      <c r="R142" s="110">
        <f t="shared" si="46"/>
        <v>3474.0053897035818</v>
      </c>
      <c r="T142" s="96">
        <f t="shared" si="38"/>
        <v>0</v>
      </c>
    </row>
    <row r="143" spans="1:20" s="71" customFormat="1" x14ac:dyDescent="0.25">
      <c r="A143" s="22">
        <v>282.02</v>
      </c>
      <c r="B143" s="16" t="s">
        <v>298</v>
      </c>
      <c r="C143" s="21" t="str">
        <f>INDEX('Alloc Amt'!B:B,MATCH('Rate Base'!D:D,'Alloc Amt'!D:D,0))</f>
        <v>Prod Trans Dist Allocation Factor</v>
      </c>
      <c r="D143" s="21">
        <v>75</v>
      </c>
      <c r="E143" s="21"/>
      <c r="F143" s="23">
        <v>-1386885625.7545435</v>
      </c>
      <c r="G143" s="111">
        <f t="shared" si="46"/>
        <v>-802086570.46115077</v>
      </c>
      <c r="H143" s="111">
        <f t="shared" si="46"/>
        <v>-173388467.98337021</v>
      </c>
      <c r="I143" s="111">
        <f t="shared" si="46"/>
        <v>-170472061.37878206</v>
      </c>
      <c r="J143" s="111">
        <f t="shared" si="46"/>
        <v>-96546481.691470131</v>
      </c>
      <c r="K143" s="111">
        <f t="shared" si="46"/>
        <v>-71550278.688460916</v>
      </c>
      <c r="L143" s="111">
        <f t="shared" si="46"/>
        <v>-380343.67215952167</v>
      </c>
      <c r="M143" s="111">
        <f t="shared" si="46"/>
        <v>-9113845.0909348559</v>
      </c>
      <c r="N143" s="111">
        <f t="shared" si="46"/>
        <v>-9439377.012289701</v>
      </c>
      <c r="O143" s="111">
        <f t="shared" si="46"/>
        <v>-24334224.984202575</v>
      </c>
      <c r="P143" s="111">
        <f t="shared" si="46"/>
        <v>-15268067.075518634</v>
      </c>
      <c r="Q143" s="111">
        <f t="shared" si="46"/>
        <v>-13858827.190928431</v>
      </c>
      <c r="R143" s="111">
        <f t="shared" si="46"/>
        <v>-447080.52527598868</v>
      </c>
      <c r="T143" s="96">
        <f t="shared" si="38"/>
        <v>0</v>
      </c>
    </row>
    <row r="144" spans="1:20" x14ac:dyDescent="0.25">
      <c r="A144" s="22">
        <v>235</v>
      </c>
      <c r="B144" s="16" t="s">
        <v>34</v>
      </c>
      <c r="C144" s="21" t="str">
        <f>INDEX('Alloc Amt'!B:B,MATCH('Rate Base'!D:D,'Alloc Amt'!D:D,0))</f>
        <v>Customer Deposits</v>
      </c>
      <c r="D144" s="21">
        <v>9</v>
      </c>
      <c r="E144" s="21"/>
      <c r="F144" s="23">
        <v>-25836611.384475</v>
      </c>
      <c r="G144" s="110">
        <f t="shared" si="46"/>
        <v>-23095250.799047243</v>
      </c>
      <c r="H144" s="110">
        <f t="shared" si="46"/>
        <v>-1864887.860734801</v>
      </c>
      <c r="I144" s="110">
        <f t="shared" si="46"/>
        <v>-638245.470833336</v>
      </c>
      <c r="J144" s="110">
        <f t="shared" si="46"/>
        <v>-169525.96587746224</v>
      </c>
      <c r="K144" s="110">
        <f t="shared" si="46"/>
        <v>-57586.220566097596</v>
      </c>
      <c r="L144" s="110">
        <f t="shared" si="46"/>
        <v>0</v>
      </c>
      <c r="M144" s="110">
        <f t="shared" si="46"/>
        <v>0</v>
      </c>
      <c r="N144" s="110">
        <f t="shared" si="46"/>
        <v>0</v>
      </c>
      <c r="O144" s="110">
        <f t="shared" si="46"/>
        <v>0</v>
      </c>
      <c r="P144" s="110">
        <f t="shared" si="46"/>
        <v>0</v>
      </c>
      <c r="Q144" s="110">
        <f t="shared" si="46"/>
        <v>-11115.0674160617</v>
      </c>
      <c r="R144" s="110">
        <f t="shared" si="46"/>
        <v>0</v>
      </c>
      <c r="T144" s="96">
        <f t="shared" si="38"/>
        <v>0</v>
      </c>
    </row>
    <row r="145" spans="1:20" s="76" customFormat="1" x14ac:dyDescent="0.25">
      <c r="A145" s="72">
        <v>235.01</v>
      </c>
      <c r="B145" s="73" t="s">
        <v>299</v>
      </c>
      <c r="C145" s="139" t="str">
        <f>INDEX('Alloc Amt'!B:B,MATCH('Rate Base'!D:D,'Alloc Amt'!D:D,0))</f>
        <v>Total Production Plant</v>
      </c>
      <c r="D145" s="74">
        <v>73</v>
      </c>
      <c r="E145" s="74"/>
      <c r="F145" s="75">
        <v>-2995643.46</v>
      </c>
      <c r="G145" s="110">
        <f t="shared" si="46"/>
        <v>-1578995.6136774493</v>
      </c>
      <c r="H145" s="110">
        <f t="shared" si="46"/>
        <v>-396731.54534615239</v>
      </c>
      <c r="I145" s="110">
        <f t="shared" si="46"/>
        <v>-439367.08595236356</v>
      </c>
      <c r="J145" s="110">
        <f t="shared" si="46"/>
        <v>-277927.32026029285</v>
      </c>
      <c r="K145" s="110">
        <f t="shared" si="46"/>
        <v>-193629.08471909101</v>
      </c>
      <c r="L145" s="110">
        <f t="shared" si="46"/>
        <v>-557.03658699128903</v>
      </c>
      <c r="M145" s="110">
        <f t="shared" si="46"/>
        <v>-15357.521745246995</v>
      </c>
      <c r="N145" s="110">
        <f t="shared" si="46"/>
        <v>0</v>
      </c>
      <c r="O145" s="110">
        <f t="shared" si="46"/>
        <v>-82188.546350553443</v>
      </c>
      <c r="P145" s="110">
        <f t="shared" si="46"/>
        <v>0</v>
      </c>
      <c r="Q145" s="110">
        <f t="shared" si="46"/>
        <v>-9869.4405252183187</v>
      </c>
      <c r="R145" s="110">
        <f t="shared" si="46"/>
        <v>-1020.264836640929</v>
      </c>
      <c r="T145" s="96">
        <f t="shared" si="38"/>
        <v>0</v>
      </c>
    </row>
    <row r="146" spans="1:20" s="76" customFormat="1" x14ac:dyDescent="0.25">
      <c r="A146" s="72">
        <v>252</v>
      </c>
      <c r="B146" s="73" t="s">
        <v>36</v>
      </c>
      <c r="C146" s="139" t="str">
        <f>INDEX('Alloc Amt'!B:B,MATCH('Rate Base'!D:D,'Alloc Amt'!D:D,0))</f>
        <v>Customer Advances</v>
      </c>
      <c r="D146" s="74">
        <v>10</v>
      </c>
      <c r="E146" s="74"/>
      <c r="F146" s="75">
        <v>-79258524.650000006</v>
      </c>
      <c r="G146" s="110">
        <f t="shared" si="46"/>
        <v>-33974849.983845964</v>
      </c>
      <c r="H146" s="110">
        <f t="shared" si="46"/>
        <v>-42161069.125409625</v>
      </c>
      <c r="I146" s="110">
        <f t="shared" si="46"/>
        <v>-2830663.0729111028</v>
      </c>
      <c r="J146" s="110">
        <f t="shared" si="46"/>
        <v>-291942.46783331066</v>
      </c>
      <c r="K146" s="110">
        <f t="shared" si="46"/>
        <v>0</v>
      </c>
      <c r="L146" s="110">
        <f t="shared" si="46"/>
        <v>0</v>
      </c>
      <c r="M146" s="110">
        <f t="shared" si="46"/>
        <v>0</v>
      </c>
      <c r="N146" s="110">
        <f t="shared" si="46"/>
        <v>0</v>
      </c>
      <c r="O146" s="110">
        <f t="shared" si="46"/>
        <v>0</v>
      </c>
      <c r="P146" s="110">
        <f t="shared" si="46"/>
        <v>0</v>
      </c>
      <c r="Q146" s="110">
        <f t="shared" si="46"/>
        <v>0</v>
      </c>
      <c r="R146" s="110">
        <f t="shared" si="46"/>
        <v>0</v>
      </c>
      <c r="T146" s="96">
        <f t="shared" si="38"/>
        <v>0</v>
      </c>
    </row>
    <row r="147" spans="1:20" x14ac:dyDescent="0.25">
      <c r="A147" s="22">
        <v>253</v>
      </c>
      <c r="B147" s="16" t="s">
        <v>300</v>
      </c>
      <c r="C147" s="21" t="str">
        <f>INDEX('Alloc Amt'!B:B,MATCH('Rate Base'!D:D,'Alloc Amt'!D:D,0))</f>
        <v>Salary &amp; Wages - Total</v>
      </c>
      <c r="D147" s="21">
        <v>78</v>
      </c>
      <c r="E147" s="21"/>
      <c r="F147" s="23">
        <v>-2132461.9750080002</v>
      </c>
      <c r="G147" s="110">
        <f t="shared" ref="G147:R157" si="47">INDEX(Alloc,($D147),(G$1))*$F147</f>
        <v>-1301520.7657706661</v>
      </c>
      <c r="H147" s="110">
        <f t="shared" si="47"/>
        <v>-257574.15583191687</v>
      </c>
      <c r="I147" s="110">
        <f t="shared" si="47"/>
        <v>-232750.88747887747</v>
      </c>
      <c r="J147" s="110">
        <f t="shared" si="47"/>
        <v>-132452.71481773362</v>
      </c>
      <c r="K147" s="110">
        <f t="shared" si="47"/>
        <v>-98983.385267092104</v>
      </c>
      <c r="L147" s="110">
        <f t="shared" si="47"/>
        <v>-518.46649140624163</v>
      </c>
      <c r="M147" s="110">
        <f t="shared" si="47"/>
        <v>-12467.332773265327</v>
      </c>
      <c r="N147" s="110">
        <f t="shared" si="47"/>
        <v>-12921.152596222018</v>
      </c>
      <c r="O147" s="110">
        <f t="shared" si="47"/>
        <v>-33153.175362110313</v>
      </c>
      <c r="P147" s="110">
        <f t="shared" si="47"/>
        <v>-19853.826724017094</v>
      </c>
      <c r="Q147" s="110">
        <f t="shared" si="47"/>
        <v>-29659.639831462289</v>
      </c>
      <c r="R147" s="110">
        <f t="shared" si="47"/>
        <v>-606.47206323133491</v>
      </c>
      <c r="T147" s="96">
        <f t="shared" si="38"/>
        <v>0</v>
      </c>
    </row>
    <row r="148" spans="1:20" x14ac:dyDescent="0.25">
      <c r="A148" s="22">
        <v>114.01</v>
      </c>
      <c r="B148" s="16" t="s">
        <v>301</v>
      </c>
      <c r="C148" s="21" t="str">
        <f>INDEX('Alloc Amt'!B:B,MATCH('Rate Base'!D:D,'Alloc Amt'!D:D,0))</f>
        <v>Total Production Plant</v>
      </c>
      <c r="D148" s="21">
        <v>73</v>
      </c>
      <c r="E148" s="21"/>
      <c r="F148" s="23">
        <v>380941956.83829999</v>
      </c>
      <c r="G148" s="110">
        <f t="shared" si="47"/>
        <v>200793481.24872643</v>
      </c>
      <c r="H148" s="110">
        <f t="shared" si="47"/>
        <v>50450493.605686322</v>
      </c>
      <c r="I148" s="110">
        <f t="shared" si="47"/>
        <v>55872255.736680664</v>
      </c>
      <c r="J148" s="110">
        <f t="shared" si="47"/>
        <v>35342716.398827001</v>
      </c>
      <c r="K148" s="110">
        <f t="shared" si="47"/>
        <v>24622904.36716374</v>
      </c>
      <c r="L148" s="110">
        <f t="shared" si="47"/>
        <v>70835.735397893295</v>
      </c>
      <c r="M148" s="110">
        <f t="shared" si="47"/>
        <v>1952944.1550501257</v>
      </c>
      <c r="N148" s="110">
        <f t="shared" si="47"/>
        <v>0</v>
      </c>
      <c r="O148" s="110">
        <f t="shared" si="47"/>
        <v>10451532.7322949</v>
      </c>
      <c r="P148" s="110">
        <f t="shared" si="47"/>
        <v>0</v>
      </c>
      <c r="Q148" s="110">
        <f t="shared" si="47"/>
        <v>1255050.5548400227</v>
      </c>
      <c r="R148" s="110">
        <f t="shared" si="47"/>
        <v>129742.30363292432</v>
      </c>
      <c r="T148" s="96">
        <f t="shared" si="38"/>
        <v>0</v>
      </c>
    </row>
    <row r="149" spans="1:20" s="71" customFormat="1" x14ac:dyDescent="0.25">
      <c r="A149" s="22">
        <v>114.02</v>
      </c>
      <c r="B149" s="16" t="s">
        <v>302</v>
      </c>
      <c r="C149" s="21" t="str">
        <f>INDEX('Alloc Amt'!B:B,MATCH('Rate Base'!D:D,'Alloc Amt'!D:D,0))</f>
        <v>Total Production Plant</v>
      </c>
      <c r="D149" s="21">
        <v>73</v>
      </c>
      <c r="E149" s="21"/>
      <c r="F149" s="112">
        <v>946172.25</v>
      </c>
      <c r="G149" s="110">
        <f t="shared" si="47"/>
        <v>498724.84909580095</v>
      </c>
      <c r="H149" s="110">
        <f t="shared" si="47"/>
        <v>125307.42857701298</v>
      </c>
      <c r="I149" s="110">
        <f t="shared" si="47"/>
        <v>138773.83935786912</v>
      </c>
      <c r="J149" s="110">
        <f t="shared" si="47"/>
        <v>87783.182965022104</v>
      </c>
      <c r="K149" s="110">
        <f t="shared" si="47"/>
        <v>61157.634144519638</v>
      </c>
      <c r="L149" s="110">
        <f t="shared" si="47"/>
        <v>175.93968303753635</v>
      </c>
      <c r="M149" s="110">
        <f t="shared" si="47"/>
        <v>4850.6643391147345</v>
      </c>
      <c r="N149" s="110">
        <f t="shared" si="47"/>
        <v>0</v>
      </c>
      <c r="O149" s="110">
        <f t="shared" si="47"/>
        <v>25959.204712810664</v>
      </c>
      <c r="P149" s="110">
        <f t="shared" si="47"/>
        <v>0</v>
      </c>
      <c r="Q149" s="110">
        <f t="shared" si="47"/>
        <v>3117.2570676975683</v>
      </c>
      <c r="R149" s="110">
        <f t="shared" si="47"/>
        <v>322.25005711475103</v>
      </c>
      <c r="T149" s="96">
        <f t="shared" si="38"/>
        <v>0</v>
      </c>
    </row>
    <row r="150" spans="1:20" x14ac:dyDescent="0.25">
      <c r="A150" s="22">
        <v>114.03</v>
      </c>
      <c r="B150" s="16" t="s">
        <v>303</v>
      </c>
      <c r="C150" s="21" t="str">
        <f>INDEX('Alloc Amt'!B:B,MATCH('Rate Base'!D:D,'Alloc Amt'!D:D,0))</f>
        <v>Total Distribution Plant</v>
      </c>
      <c r="D150" s="21">
        <v>68</v>
      </c>
      <c r="E150" s="21"/>
      <c r="F150" s="23">
        <v>302358.00999999995</v>
      </c>
      <c r="G150" s="110">
        <f t="shared" si="47"/>
        <v>201041.60420285759</v>
      </c>
      <c r="H150" s="110">
        <f t="shared" si="47"/>
        <v>35840.745968841846</v>
      </c>
      <c r="I150" s="110">
        <f t="shared" si="47"/>
        <v>28455.40924175594</v>
      </c>
      <c r="J150" s="110">
        <f t="shared" si="47"/>
        <v>12117.197461234662</v>
      </c>
      <c r="K150" s="110">
        <f t="shared" si="47"/>
        <v>10677.59180622743</v>
      </c>
      <c r="L150" s="110">
        <f t="shared" si="47"/>
        <v>121.7618450831785</v>
      </c>
      <c r="M150" s="110">
        <f t="shared" si="47"/>
        <v>2641.3643447151894</v>
      </c>
      <c r="N150" s="110">
        <f t="shared" si="47"/>
        <v>3635.4742022814717</v>
      </c>
      <c r="O150" s="110">
        <f t="shared" si="47"/>
        <v>1385.4909203731893</v>
      </c>
      <c r="P150" s="110">
        <f t="shared" si="47"/>
        <v>478.693127707332</v>
      </c>
      <c r="Q150" s="110">
        <f t="shared" si="47"/>
        <v>5869.8967634958226</v>
      </c>
      <c r="R150" s="110">
        <f t="shared" si="47"/>
        <v>92.780115426241224</v>
      </c>
      <c r="T150" s="96">
        <f t="shared" si="38"/>
        <v>0</v>
      </c>
    </row>
    <row r="151" spans="1:20" x14ac:dyDescent="0.25">
      <c r="A151" s="22">
        <v>115.01</v>
      </c>
      <c r="B151" s="16" t="s">
        <v>304</v>
      </c>
      <c r="C151" s="21" t="str">
        <f>INDEX('Alloc Amt'!B:B,MATCH('Rate Base'!D:D,'Alloc Amt'!D:D,0))</f>
        <v>Total Production Plant</v>
      </c>
      <c r="D151" s="21">
        <v>73</v>
      </c>
      <c r="E151" s="21"/>
      <c r="F151" s="23">
        <v>-136832371.41</v>
      </c>
      <c r="G151" s="110">
        <f t="shared" si="47"/>
        <v>-72123975.0826267</v>
      </c>
      <c r="H151" s="110">
        <f t="shared" si="47"/>
        <v>-18121555.147576869</v>
      </c>
      <c r="I151" s="110">
        <f t="shared" si="47"/>
        <v>-20069023.93196125</v>
      </c>
      <c r="J151" s="110">
        <f t="shared" si="47"/>
        <v>-12694920.079321591</v>
      </c>
      <c r="K151" s="110">
        <f t="shared" si="47"/>
        <v>-8844419.300840633</v>
      </c>
      <c r="L151" s="110">
        <f t="shared" si="47"/>
        <v>-25443.828071632674</v>
      </c>
      <c r="M151" s="110">
        <f t="shared" si="47"/>
        <v>-701487.39242245746</v>
      </c>
      <c r="N151" s="110">
        <f t="shared" si="47"/>
        <v>0</v>
      </c>
      <c r="O151" s="110">
        <f t="shared" si="47"/>
        <v>-3754136.248205896</v>
      </c>
      <c r="P151" s="110">
        <f t="shared" si="47"/>
        <v>0</v>
      </c>
      <c r="Q151" s="110">
        <f t="shared" si="47"/>
        <v>-450807.63768715604</v>
      </c>
      <c r="R151" s="110">
        <f t="shared" si="47"/>
        <v>-46602.761285822242</v>
      </c>
      <c r="T151" s="96">
        <f t="shared" si="38"/>
        <v>0</v>
      </c>
    </row>
    <row r="152" spans="1:20" s="71" customFormat="1" x14ac:dyDescent="0.25">
      <c r="A152" s="22">
        <v>115.02</v>
      </c>
      <c r="B152" s="16" t="s">
        <v>305</v>
      </c>
      <c r="C152" s="21" t="str">
        <f>INDEX('Alloc Amt'!B:B,MATCH('Rate Base'!D:D,'Alloc Amt'!D:D,0))</f>
        <v>Total Production Plant</v>
      </c>
      <c r="D152" s="21">
        <v>73</v>
      </c>
      <c r="E152" s="37"/>
      <c r="F152" s="109">
        <v>-951189</v>
      </c>
      <c r="G152" s="110">
        <f t="shared" si="47"/>
        <v>-501369.16453276435</v>
      </c>
      <c r="H152" s="110">
        <f t="shared" si="47"/>
        <v>-125971.82773088136</v>
      </c>
      <c r="I152" s="110">
        <f t="shared" si="47"/>
        <v>-139509.6394815766</v>
      </c>
      <c r="J152" s="110">
        <f t="shared" si="47"/>
        <v>-88248.622828788735</v>
      </c>
      <c r="K152" s="110">
        <f t="shared" si="47"/>
        <v>-61481.901275683675</v>
      </c>
      <c r="L152" s="110">
        <f t="shared" si="47"/>
        <v>-176.87254214947771</v>
      </c>
      <c r="M152" s="110">
        <f t="shared" si="47"/>
        <v>-4876.3833034188074</v>
      </c>
      <c r="N152" s="110">
        <f t="shared" si="47"/>
        <v>0</v>
      </c>
      <c r="O152" s="110">
        <f t="shared" si="47"/>
        <v>-26096.844387027482</v>
      </c>
      <c r="P152" s="110">
        <f t="shared" si="47"/>
        <v>0</v>
      </c>
      <c r="Q152" s="110">
        <f t="shared" si="47"/>
        <v>-3133.7852414992963</v>
      </c>
      <c r="R152" s="110">
        <f t="shared" si="47"/>
        <v>-323.95867621030197</v>
      </c>
      <c r="T152" s="96">
        <f t="shared" si="38"/>
        <v>0</v>
      </c>
    </row>
    <row r="153" spans="1:20" x14ac:dyDescent="0.25">
      <c r="A153" s="22">
        <v>115.03</v>
      </c>
      <c r="B153" s="16" t="s">
        <v>306</v>
      </c>
      <c r="C153" s="21" t="str">
        <f>INDEX('Alloc Amt'!B:B,MATCH('Rate Base'!D:D,'Alloc Amt'!D:D,0))</f>
        <v>Total Distribution Plant</v>
      </c>
      <c r="D153" s="21">
        <v>68</v>
      </c>
      <c r="E153" s="21"/>
      <c r="F153" s="23">
        <v>-302358.00999999995</v>
      </c>
      <c r="G153" s="110">
        <f t="shared" si="47"/>
        <v>-201041.60420285759</v>
      </c>
      <c r="H153" s="110">
        <f t="shared" si="47"/>
        <v>-35840.745968841846</v>
      </c>
      <c r="I153" s="110">
        <f t="shared" si="47"/>
        <v>-28455.40924175594</v>
      </c>
      <c r="J153" s="110">
        <f t="shared" si="47"/>
        <v>-12117.197461234662</v>
      </c>
      <c r="K153" s="110">
        <f t="shared" si="47"/>
        <v>-10677.59180622743</v>
      </c>
      <c r="L153" s="110">
        <f t="shared" si="47"/>
        <v>-121.7618450831785</v>
      </c>
      <c r="M153" s="110">
        <f t="shared" si="47"/>
        <v>-2641.3643447151894</v>
      </c>
      <c r="N153" s="110">
        <f t="shared" si="47"/>
        <v>-3635.4742022814717</v>
      </c>
      <c r="O153" s="110">
        <f t="shared" si="47"/>
        <v>-1385.4909203731893</v>
      </c>
      <c r="P153" s="110">
        <f t="shared" si="47"/>
        <v>-478.693127707332</v>
      </c>
      <c r="Q153" s="110">
        <f t="shared" si="47"/>
        <v>-5869.8967634958226</v>
      </c>
      <c r="R153" s="110">
        <f t="shared" si="47"/>
        <v>-92.780115426241224</v>
      </c>
      <c r="T153" s="96">
        <f t="shared" si="38"/>
        <v>0</v>
      </c>
    </row>
    <row r="154" spans="1:20" x14ac:dyDescent="0.25">
      <c r="A154" s="22">
        <v>230</v>
      </c>
      <c r="B154" s="16" t="s">
        <v>307</v>
      </c>
      <c r="C154" s="21" t="str">
        <f>INDEX('Alloc Amt'!B:B,MATCH('Rate Base'!D:D,'Alloc Amt'!D:D,0))</f>
        <v>Total Production Plant</v>
      </c>
      <c r="D154" s="21">
        <v>73</v>
      </c>
      <c r="E154" s="21"/>
      <c r="F154" s="23">
        <v>-154752983.34</v>
      </c>
      <c r="G154" s="110">
        <f t="shared" si="47"/>
        <v>-81569881.449563235</v>
      </c>
      <c r="H154" s="110">
        <f t="shared" si="47"/>
        <v>-20494892.348572608</v>
      </c>
      <c r="I154" s="110">
        <f t="shared" si="47"/>
        <v>-22697416.51182029</v>
      </c>
      <c r="J154" s="110">
        <f t="shared" si="47"/>
        <v>-14357543.725170799</v>
      </c>
      <c r="K154" s="110">
        <f t="shared" si="47"/>
        <v>-10002751.970247133</v>
      </c>
      <c r="L154" s="110">
        <f t="shared" si="47"/>
        <v>-28776.146032556695</v>
      </c>
      <c r="M154" s="110">
        <f t="shared" si="47"/>
        <v>-793359.5364469362</v>
      </c>
      <c r="N154" s="110">
        <f t="shared" si="47"/>
        <v>0</v>
      </c>
      <c r="O154" s="110">
        <f t="shared" si="47"/>
        <v>-4245806.5901227165</v>
      </c>
      <c r="P154" s="110">
        <f t="shared" si="47"/>
        <v>0</v>
      </c>
      <c r="Q154" s="110">
        <f t="shared" si="47"/>
        <v>-509848.84735723236</v>
      </c>
      <c r="R154" s="110">
        <f t="shared" si="47"/>
        <v>-52706.214666508247</v>
      </c>
      <c r="T154" s="96">
        <f t="shared" si="38"/>
        <v>0</v>
      </c>
    </row>
    <row r="155" spans="1:20" s="76" customFormat="1" x14ac:dyDescent="0.25">
      <c r="A155" s="72">
        <v>230.01</v>
      </c>
      <c r="B155" s="73" t="s">
        <v>308</v>
      </c>
      <c r="C155" s="139" t="str">
        <f>INDEX('Alloc Amt'!B:B,MATCH('Rate Base'!D:D,'Alloc Amt'!D:D,0))</f>
        <v>Total Production Plant</v>
      </c>
      <c r="D155" s="74">
        <v>73</v>
      </c>
      <c r="E155" s="77"/>
      <c r="F155" s="113">
        <v>-4532108.43</v>
      </c>
      <c r="G155" s="110">
        <f t="shared" si="47"/>
        <v>-2388862.168423939</v>
      </c>
      <c r="H155" s="110">
        <f t="shared" si="47"/>
        <v>-600215.08070597437</v>
      </c>
      <c r="I155" s="110">
        <f t="shared" si="47"/>
        <v>-664718.3821098794</v>
      </c>
      <c r="J155" s="110">
        <f t="shared" si="47"/>
        <v>-420476.19080776151</v>
      </c>
      <c r="K155" s="110">
        <f t="shared" si="47"/>
        <v>-292941.40603387309</v>
      </c>
      <c r="L155" s="110">
        <f t="shared" si="47"/>
        <v>-842.74054820984907</v>
      </c>
      <c r="M155" s="110">
        <f t="shared" si="47"/>
        <v>-23234.391774227439</v>
      </c>
      <c r="N155" s="110">
        <f t="shared" si="47"/>
        <v>0</v>
      </c>
      <c r="O155" s="110">
        <f t="shared" si="47"/>
        <v>-124343.03639218434</v>
      </c>
      <c r="P155" s="110">
        <f t="shared" si="47"/>
        <v>0</v>
      </c>
      <c r="Q155" s="110">
        <f t="shared" si="47"/>
        <v>-14931.474723539219</v>
      </c>
      <c r="R155" s="110">
        <f t="shared" si="47"/>
        <v>-1543.5584804117268</v>
      </c>
      <c r="T155" s="96">
        <f t="shared" si="38"/>
        <v>0</v>
      </c>
    </row>
    <row r="156" spans="1:20" x14ac:dyDescent="0.25">
      <c r="A156" s="22">
        <v>230.02</v>
      </c>
      <c r="B156" s="16" t="s">
        <v>309</v>
      </c>
      <c r="C156" s="21" t="str">
        <f>INDEX('Alloc Amt'!B:B,MATCH('Rate Base'!D:D,'Alloc Amt'!D:D,0))</f>
        <v>Total Distribution Plant</v>
      </c>
      <c r="D156" s="21">
        <v>68</v>
      </c>
      <c r="E156" s="21"/>
      <c r="F156" s="23">
        <v>-8852463.3499999996</v>
      </c>
      <c r="G156" s="110">
        <f t="shared" si="47"/>
        <v>-5886113.0652070474</v>
      </c>
      <c r="H156" s="110">
        <f t="shared" si="47"/>
        <v>-1049348.3871184122</v>
      </c>
      <c r="I156" s="110">
        <f t="shared" si="47"/>
        <v>-833119.87475342816</v>
      </c>
      <c r="J156" s="110">
        <f t="shared" si="47"/>
        <v>-354768.33053072717</v>
      </c>
      <c r="K156" s="110">
        <f t="shared" si="47"/>
        <v>-312619.43459307938</v>
      </c>
      <c r="L156" s="110">
        <f t="shared" si="47"/>
        <v>-3564.9535827650657</v>
      </c>
      <c r="M156" s="110">
        <f t="shared" si="47"/>
        <v>-77334.088339806127</v>
      </c>
      <c r="N156" s="110">
        <f t="shared" si="47"/>
        <v>-106439.72069920429</v>
      </c>
      <c r="O156" s="110">
        <f t="shared" si="47"/>
        <v>-40564.520167206509</v>
      </c>
      <c r="P156" s="110">
        <f t="shared" si="47"/>
        <v>-14015.217817202945</v>
      </c>
      <c r="Q156" s="110">
        <f t="shared" si="47"/>
        <v>-171859.33313666933</v>
      </c>
      <c r="R156" s="110">
        <f t="shared" si="47"/>
        <v>-2716.4240544497898</v>
      </c>
      <c r="T156" s="96">
        <f t="shared" si="38"/>
        <v>0</v>
      </c>
    </row>
    <row r="157" spans="1:20" x14ac:dyDescent="0.25">
      <c r="A157" s="22">
        <v>230.03</v>
      </c>
      <c r="B157" s="16" t="s">
        <v>310</v>
      </c>
      <c r="C157" s="21" t="str">
        <f>INDEX('Alloc Amt'!B:B,MATCH('Rate Base'!D:D,'Alloc Amt'!D:D,0))</f>
        <v>Total General Plant</v>
      </c>
      <c r="D157" s="21">
        <v>70</v>
      </c>
      <c r="E157" s="21"/>
      <c r="F157" s="23">
        <v>-455842.46420599998</v>
      </c>
      <c r="G157" s="110">
        <f t="shared" si="47"/>
        <v>-277519.2118253822</v>
      </c>
      <c r="H157" s="110">
        <f t="shared" si="47"/>
        <v>-55159.899949383507</v>
      </c>
      <c r="I157" s="110">
        <f t="shared" si="47"/>
        <v>-50067.895465414374</v>
      </c>
      <c r="J157" s="110">
        <f t="shared" si="47"/>
        <v>-28480.01216637158</v>
      </c>
      <c r="K157" s="110">
        <f t="shared" si="47"/>
        <v>-21275.357434774018</v>
      </c>
      <c r="L157" s="110">
        <f t="shared" si="47"/>
        <v>-111.60659113354507</v>
      </c>
      <c r="M157" s="110">
        <f t="shared" si="47"/>
        <v>-2682.8930453489033</v>
      </c>
      <c r="N157" s="110">
        <f t="shared" si="47"/>
        <v>-2777.212491307233</v>
      </c>
      <c r="O157" s="110">
        <f t="shared" si="47"/>
        <v>-7129.5019375871289</v>
      </c>
      <c r="P157" s="110">
        <f t="shared" si="47"/>
        <v>-4255.8239828921096</v>
      </c>
      <c r="Q157" s="110">
        <f t="shared" si="47"/>
        <v>-6252.5196767198331</v>
      </c>
      <c r="R157" s="110">
        <f t="shared" si="47"/>
        <v>-130.52963968562264</v>
      </c>
      <c r="T157" s="96">
        <f t="shared" si="38"/>
        <v>0</v>
      </c>
    </row>
    <row r="158" spans="1:20" x14ac:dyDescent="0.25">
      <c r="A158" s="25"/>
      <c r="B158" s="24" t="s">
        <v>189</v>
      </c>
      <c r="C158" s="26"/>
      <c r="D158" s="26"/>
      <c r="E158" s="26"/>
      <c r="F158" s="27">
        <f t="shared" ref="F158:R158" si="48">SUM(F137:F157)</f>
        <v>-1171051115.3491793</v>
      </c>
      <c r="G158" s="114">
        <f t="shared" si="48"/>
        <v>-686339582.28256583</v>
      </c>
      <c r="H158" s="114">
        <f t="shared" si="48"/>
        <v>-175490547.62567076</v>
      </c>
      <c r="I158" s="114">
        <f t="shared" si="48"/>
        <v>-128638596.46921775</v>
      </c>
      <c r="J158" s="114">
        <f t="shared" si="48"/>
        <v>-68569155.710658744</v>
      </c>
      <c r="K158" s="114">
        <f t="shared" si="48"/>
        <v>-51680189.256007619</v>
      </c>
      <c r="L158" s="114">
        <f t="shared" si="48"/>
        <v>-319498.03709666542</v>
      </c>
      <c r="M158" s="114">
        <f t="shared" si="48"/>
        <v>-7463678.0803708043</v>
      </c>
      <c r="N158" s="114">
        <f t="shared" si="48"/>
        <v>-9188362.126933109</v>
      </c>
      <c r="O158" s="114">
        <f t="shared" si="48"/>
        <v>-16020182.64362881</v>
      </c>
      <c r="P158" s="114">
        <f t="shared" si="48"/>
        <v>-14672395.906600755</v>
      </c>
      <c r="Q158" s="114">
        <f t="shared" si="48"/>
        <v>-12328001.410272773</v>
      </c>
      <c r="R158" s="114">
        <f t="shared" si="48"/>
        <v>-340925.80015578523</v>
      </c>
      <c r="T158" s="96">
        <f t="shared" si="38"/>
        <v>0</v>
      </c>
    </row>
    <row r="159" spans="1:20" x14ac:dyDescent="0.25">
      <c r="A159" s="22"/>
      <c r="B159" s="16"/>
      <c r="C159" s="21"/>
      <c r="D159" s="21"/>
      <c r="E159" s="21"/>
      <c r="F159" s="23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T159" s="96">
        <f t="shared" si="38"/>
        <v>0</v>
      </c>
    </row>
    <row r="160" spans="1:20" x14ac:dyDescent="0.25">
      <c r="A160" s="25"/>
      <c r="B160" s="24" t="s">
        <v>311</v>
      </c>
      <c r="C160" s="26"/>
      <c r="D160" s="26"/>
      <c r="E160" s="26"/>
      <c r="F160" s="27">
        <f t="shared" ref="F160:R160" si="49">F134+F158</f>
        <v>-1033675899.393409</v>
      </c>
      <c r="G160" s="114">
        <f t="shared" si="49"/>
        <v>-606558203.61233878</v>
      </c>
      <c r="H160" s="114">
        <f t="shared" si="49"/>
        <v>-158355944.16738081</v>
      </c>
      <c r="I160" s="114">
        <f t="shared" si="49"/>
        <v>-111888542.06017473</v>
      </c>
      <c r="J160" s="114">
        <f t="shared" si="49"/>
        <v>-59078432.380624048</v>
      </c>
      <c r="K160" s="114">
        <f t="shared" si="49"/>
        <v>-44643240.79107292</v>
      </c>
      <c r="L160" s="114">
        <f t="shared" si="49"/>
        <v>-282149.51811566949</v>
      </c>
      <c r="M160" s="114">
        <f t="shared" si="49"/>
        <v>-6568426.9048129572</v>
      </c>
      <c r="N160" s="114">
        <f t="shared" si="49"/>
        <v>-8264591.748823531</v>
      </c>
      <c r="O160" s="114">
        <f t="shared" si="49"/>
        <v>-13628641.329844154</v>
      </c>
      <c r="P160" s="114">
        <f t="shared" si="49"/>
        <v>-13194916.874850662</v>
      </c>
      <c r="Q160" s="114">
        <f t="shared" si="49"/>
        <v>-10915788.048602002</v>
      </c>
      <c r="R160" s="114">
        <f t="shared" si="49"/>
        <v>-297021.95676899515</v>
      </c>
      <c r="T160" s="96">
        <f t="shared" si="38"/>
        <v>0</v>
      </c>
    </row>
    <row r="161" spans="1:20" x14ac:dyDescent="0.25">
      <c r="A161" s="22"/>
      <c r="B161" s="16"/>
      <c r="C161" s="21"/>
      <c r="D161" s="21"/>
      <c r="E161" s="21"/>
      <c r="F161" s="23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T161" s="96">
        <f t="shared" si="38"/>
        <v>0</v>
      </c>
    </row>
    <row r="162" spans="1:20" ht="15.75" thickBot="1" x14ac:dyDescent="0.3">
      <c r="A162" s="29"/>
      <c r="B162" s="28" t="s">
        <v>312</v>
      </c>
      <c r="C162" s="30"/>
      <c r="D162" s="30"/>
      <c r="E162" s="30"/>
      <c r="F162" s="31">
        <f t="shared" ref="F162:R162" si="50">SUM(F160,F129,F76)</f>
        <v>5428588079.6691399</v>
      </c>
      <c r="G162" s="115">
        <f t="shared" si="50"/>
        <v>3132494086.5214767</v>
      </c>
      <c r="H162" s="115">
        <f t="shared" si="50"/>
        <v>651816597.56747329</v>
      </c>
      <c r="I162" s="115">
        <f t="shared" si="50"/>
        <v>674855961.99169266</v>
      </c>
      <c r="J162" s="115">
        <f t="shared" si="50"/>
        <v>382703985.38603902</v>
      </c>
      <c r="K162" s="115">
        <f t="shared" si="50"/>
        <v>287888864.88398844</v>
      </c>
      <c r="L162" s="115">
        <f t="shared" si="50"/>
        <v>1536160.0262700242</v>
      </c>
      <c r="M162" s="115">
        <f t="shared" si="50"/>
        <v>37189854.253416851</v>
      </c>
      <c r="N162" s="115">
        <f t="shared" si="50"/>
        <v>38170413.940989554</v>
      </c>
      <c r="O162" s="115">
        <f t="shared" si="50"/>
        <v>95596765.27156961</v>
      </c>
      <c r="P162" s="115">
        <f t="shared" si="50"/>
        <v>66882387.323842242</v>
      </c>
      <c r="Q162" s="115">
        <f t="shared" si="50"/>
        <v>57656670.98856774</v>
      </c>
      <c r="R162" s="115">
        <f t="shared" si="50"/>
        <v>1796331.5138146919</v>
      </c>
      <c r="T162" s="96">
        <f t="shared" si="38"/>
        <v>0</v>
      </c>
    </row>
    <row r="163" spans="1:20" ht="15.75" thickTop="1" x14ac:dyDescent="0.25">
      <c r="A163" s="22"/>
      <c r="B163" s="16"/>
      <c r="C163" s="21"/>
      <c r="D163" s="21"/>
      <c r="E163" s="21"/>
      <c r="F163" s="23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T163" s="96">
        <f t="shared" si="38"/>
        <v>0</v>
      </c>
    </row>
    <row r="164" spans="1:20" x14ac:dyDescent="0.25">
      <c r="A164" s="22"/>
      <c r="B164" s="16"/>
      <c r="C164" s="21"/>
      <c r="D164" s="21"/>
      <c r="E164" s="21"/>
      <c r="F164" s="23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T164" s="96">
        <f t="shared" si="38"/>
        <v>0</v>
      </c>
    </row>
    <row r="165" spans="1:20" x14ac:dyDescent="0.25">
      <c r="A165" s="22"/>
      <c r="B165" s="16"/>
      <c r="C165" s="21"/>
      <c r="D165" s="21"/>
      <c r="E165" s="21"/>
      <c r="F165" s="23"/>
      <c r="G165" s="110"/>
      <c r="H165" s="110">
        <f>H162-651816598</f>
        <v>-0.43252670764923096</v>
      </c>
      <c r="I165" s="110">
        <f>I162-674855962</f>
        <v>-8.307337760925293E-3</v>
      </c>
      <c r="J165" s="110"/>
      <c r="K165" s="110"/>
      <c r="L165" s="110"/>
      <c r="M165" s="110"/>
      <c r="N165" s="110"/>
      <c r="O165" s="110"/>
      <c r="P165" s="110"/>
      <c r="Q165" s="110"/>
      <c r="R165" s="110"/>
      <c r="T165" s="96">
        <f t="shared" ref="T165:T172" si="51">F165-SUM(G165:R165)</f>
        <v>0.44083404541015625</v>
      </c>
    </row>
    <row r="166" spans="1:20" x14ac:dyDescent="0.25">
      <c r="A166" s="22"/>
      <c r="B166" s="16"/>
      <c r="C166" s="21"/>
      <c r="D166" s="21"/>
      <c r="E166" s="21"/>
      <c r="F166" s="23">
        <v>5428588079.6691418</v>
      </c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T166" s="96">
        <f t="shared" si="51"/>
        <v>5428588079.6691418</v>
      </c>
    </row>
    <row r="167" spans="1:20" x14ac:dyDescent="0.25">
      <c r="A167" s="16"/>
      <c r="B167" s="16"/>
      <c r="C167" s="21"/>
      <c r="D167" s="21"/>
      <c r="E167" s="21"/>
      <c r="F167" s="32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T167" s="96">
        <f t="shared" si="51"/>
        <v>0</v>
      </c>
    </row>
    <row r="168" spans="1:20" x14ac:dyDescent="0.25"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T168" s="96">
        <f t="shared" si="51"/>
        <v>0</v>
      </c>
    </row>
    <row r="169" spans="1:20" x14ac:dyDescent="0.25"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T169" s="96">
        <f t="shared" si="51"/>
        <v>0</v>
      </c>
    </row>
    <row r="170" spans="1:20" x14ac:dyDescent="0.25"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T170" s="96">
        <f t="shared" si="51"/>
        <v>0</v>
      </c>
    </row>
    <row r="171" spans="1:20" x14ac:dyDescent="0.25"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T171" s="96">
        <f t="shared" si="51"/>
        <v>0</v>
      </c>
    </row>
    <row r="172" spans="1:20" x14ac:dyDescent="0.25"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T172" s="96">
        <f t="shared" si="51"/>
        <v>0</v>
      </c>
    </row>
    <row r="173" spans="1:20" x14ac:dyDescent="0.25"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  <row r="174" spans="1:20" x14ac:dyDescent="0.25"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</row>
    <row r="175" spans="1:20" x14ac:dyDescent="0.25"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6" spans="1:20" x14ac:dyDescent="0.25"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7:18" x14ac:dyDescent="0.25"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8" spans="7:18" x14ac:dyDescent="0.25"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7:18" x14ac:dyDescent="0.25"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</sheetData>
  <autoFilter ref="D1:D179" xr:uid="{7D987445-CA4F-47C6-883C-99E6F30E9777}"/>
  <pageMargins left="0.7" right="0.7" top="0.75" bottom="0.75" header="0.3" footer="0.3"/>
  <pageSetup fitToHeight="0" orientation="portrait" r:id="rId1"/>
  <headerFooter>
    <oddHeader>&amp;C
PUGET SOUND ENERGY
PEAK CREDIT RATE BASE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323A-94D9-45F0-8F76-F69514813D13}">
  <dimension ref="A1:T193"/>
  <sheetViews>
    <sheetView topLeftCell="F181" workbookViewId="0">
      <selection activeCell="L185" sqref="L185:M186"/>
    </sheetView>
  </sheetViews>
  <sheetFormatPr defaultRowHeight="15" x14ac:dyDescent="0.25"/>
  <cols>
    <col min="1" max="1" width="8.7109375" style="19" bestFit="1" customWidth="1"/>
    <col min="2" max="2" width="40.85546875" style="19" bestFit="1" customWidth="1"/>
    <col min="3" max="3" width="12.140625" style="19" bestFit="1" customWidth="1"/>
    <col min="4" max="4" width="15" style="19" bestFit="1" customWidth="1"/>
    <col min="5" max="5" width="14.28515625" style="19" bestFit="1" customWidth="1"/>
    <col min="6" max="6" width="16.5703125" style="19" bestFit="1" customWidth="1"/>
    <col min="7" max="7" width="12.5703125" style="19" bestFit="1" customWidth="1"/>
    <col min="8" max="11" width="12.28515625" style="19" bestFit="1" customWidth="1"/>
    <col min="12" max="13" width="12.28515625" style="19" customWidth="1"/>
    <col min="14" max="14" width="10.28515625" style="19" bestFit="1" customWidth="1"/>
    <col min="15" max="15" width="11.5703125" style="19" bestFit="1" customWidth="1"/>
    <col min="16" max="16" width="10.5703125" style="19" bestFit="1" customWidth="1"/>
    <col min="17" max="17" width="11.28515625" style="19" bestFit="1" customWidth="1"/>
    <col min="18" max="18" width="9" style="19" bestFit="1" customWidth="1"/>
    <col min="19" max="19" width="9.140625" style="19"/>
    <col min="20" max="20" width="14.28515625" style="62" bestFit="1" customWidth="1"/>
    <col min="21" max="16384" width="9.140625" style="19"/>
  </cols>
  <sheetData>
    <row r="1" spans="1:20" x14ac:dyDescent="0.25">
      <c r="C1" s="19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R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64.5" x14ac:dyDescent="0.25">
      <c r="D7" s="19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138" t="s">
        <v>579</v>
      </c>
      <c r="L7" s="138" t="s">
        <v>580</v>
      </c>
      <c r="M7" s="138" t="s">
        <v>581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62" t="s">
        <v>535</v>
      </c>
    </row>
    <row r="8" spans="1:20" ht="26.25" x14ac:dyDescent="0.25">
      <c r="A8" s="47"/>
      <c r="B8" s="35" t="s">
        <v>180</v>
      </c>
      <c r="C8" s="34" t="s">
        <v>181</v>
      </c>
      <c r="D8" s="34" t="s">
        <v>321</v>
      </c>
      <c r="E8" s="47"/>
      <c r="F8" s="34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x14ac:dyDescent="0.25">
      <c r="A9" s="44"/>
      <c r="B9" s="44"/>
      <c r="C9" s="4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20" x14ac:dyDescent="0.25">
      <c r="A10" s="16"/>
      <c r="B10" s="20" t="s">
        <v>326</v>
      </c>
      <c r="C10" s="16"/>
      <c r="D10" s="16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20" x14ac:dyDescent="0.25">
      <c r="A11" s="16"/>
      <c r="B11" s="20"/>
      <c r="C11" s="16"/>
      <c r="D11" s="1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20" x14ac:dyDescent="0.25">
      <c r="A12" s="16"/>
      <c r="B12" s="20" t="s">
        <v>327</v>
      </c>
      <c r="C12" s="16"/>
      <c r="D12" s="16"/>
    </row>
    <row r="13" spans="1:20" x14ac:dyDescent="0.25">
      <c r="A13" s="16"/>
      <c r="B13" s="16"/>
      <c r="C13" s="16"/>
      <c r="D13" s="16"/>
    </row>
    <row r="14" spans="1:20" x14ac:dyDescent="0.25">
      <c r="A14" s="16"/>
      <c r="B14" s="20" t="s">
        <v>328</v>
      </c>
      <c r="C14" s="16"/>
      <c r="D14" s="16"/>
      <c r="E14" s="48">
        <v>180672605.83404735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s="56" customFormat="1" x14ac:dyDescent="0.25">
      <c r="A15" s="116" t="s">
        <v>329</v>
      </c>
      <c r="B15" s="117" t="s">
        <v>330</v>
      </c>
      <c r="C15" s="117" t="s">
        <v>158</v>
      </c>
      <c r="E15" s="118">
        <v>37464673.568808615</v>
      </c>
      <c r="F15" s="119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spans="1:20" s="56" customFormat="1" x14ac:dyDescent="0.25">
      <c r="A16" s="116"/>
      <c r="B16" s="117" t="s">
        <v>322</v>
      </c>
      <c r="C16" s="117"/>
      <c r="D16" s="56">
        <v>30</v>
      </c>
      <c r="E16" s="122">
        <v>0.11</v>
      </c>
      <c r="F16" s="119">
        <f>E15*E16</f>
        <v>4121114.0925689475</v>
      </c>
      <c r="G16" s="120">
        <f t="shared" ref="G16:R17" si="8">INDEX(Alloc,($D16),(G$1))*$F16</f>
        <v>2376750.2513787863</v>
      </c>
      <c r="H16" s="120">
        <f t="shared" si="8"/>
        <v>547966.88281810132</v>
      </c>
      <c r="I16" s="120">
        <f t="shared" si="8"/>
        <v>586509.781922961</v>
      </c>
      <c r="J16" s="120">
        <f t="shared" si="8"/>
        <v>308162.71013233776</v>
      </c>
      <c r="K16" s="120">
        <f t="shared" si="8"/>
        <v>217693.11082635677</v>
      </c>
      <c r="L16" s="120">
        <f t="shared" si="8"/>
        <v>7.4395106968865834</v>
      </c>
      <c r="M16" s="120">
        <f t="shared" si="8"/>
        <v>0</v>
      </c>
      <c r="N16" s="120">
        <f t="shared" si="8"/>
        <v>0</v>
      </c>
      <c r="O16" s="120">
        <f t="shared" si="8"/>
        <v>73941.14374809053</v>
      </c>
      <c r="P16" s="120">
        <f t="shared" si="8"/>
        <v>0</v>
      </c>
      <c r="Q16" s="120">
        <f t="shared" si="8"/>
        <v>8564.765289684754</v>
      </c>
      <c r="R16" s="120">
        <f t="shared" si="8"/>
        <v>1518.0069419324557</v>
      </c>
      <c r="T16" s="121">
        <f t="shared" ref="T16:T58" si="9">F16-SUM(G16:R16)</f>
        <v>0</v>
      </c>
    </row>
    <row r="17" spans="1:20" s="56" customFormat="1" x14ac:dyDescent="0.25">
      <c r="A17" s="116"/>
      <c r="B17" s="117" t="s">
        <v>323</v>
      </c>
      <c r="C17" s="117"/>
      <c r="D17" s="56">
        <v>52</v>
      </c>
      <c r="E17" s="122">
        <v>0.89</v>
      </c>
      <c r="F17" s="119">
        <f>E15*E17</f>
        <v>33343559.476239666</v>
      </c>
      <c r="G17" s="120">
        <f t="shared" si="8"/>
        <v>17370778.45919957</v>
      </c>
      <c r="H17" s="120">
        <f t="shared" si="8"/>
        <v>4413710.9801551495</v>
      </c>
      <c r="I17" s="120">
        <f t="shared" si="8"/>
        <v>4908384.6111781402</v>
      </c>
      <c r="J17" s="120">
        <f t="shared" si="8"/>
        <v>3167703.6499469765</v>
      </c>
      <c r="K17" s="120">
        <f t="shared" si="8"/>
        <v>2203906.9725253293</v>
      </c>
      <c r="L17" s="120">
        <f t="shared" si="8"/>
        <v>6959.0750883108039</v>
      </c>
      <c r="M17" s="120">
        <f t="shared" si="8"/>
        <v>192067.09566550315</v>
      </c>
      <c r="N17" s="120">
        <f t="shared" si="8"/>
        <v>0</v>
      </c>
      <c r="O17" s="120">
        <f t="shared" si="8"/>
        <v>953940.54552289587</v>
      </c>
      <c r="P17" s="120">
        <f t="shared" si="8"/>
        <v>0</v>
      </c>
      <c r="Q17" s="120">
        <f t="shared" si="8"/>
        <v>114866.26798290484</v>
      </c>
      <c r="R17" s="120">
        <f t="shared" si="8"/>
        <v>11241.8189748962</v>
      </c>
      <c r="T17" s="121">
        <f t="shared" si="9"/>
        <v>0</v>
      </c>
    </row>
    <row r="18" spans="1:20" s="56" customFormat="1" x14ac:dyDescent="0.25">
      <c r="A18" s="116" t="s">
        <v>331</v>
      </c>
      <c r="B18" s="117" t="s">
        <v>332</v>
      </c>
      <c r="C18" s="117" t="s">
        <v>158</v>
      </c>
      <c r="E18" s="119">
        <v>143207932.26523873</v>
      </c>
      <c r="F18" s="119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T18" s="121">
        <f t="shared" si="9"/>
        <v>0</v>
      </c>
    </row>
    <row r="19" spans="1:20" s="56" customFormat="1" x14ac:dyDescent="0.25">
      <c r="A19" s="116"/>
      <c r="B19" s="117" t="s">
        <v>322</v>
      </c>
      <c r="C19" s="117"/>
      <c r="D19" s="56">
        <v>30</v>
      </c>
      <c r="E19" s="122">
        <v>0.11</v>
      </c>
      <c r="F19" s="119">
        <f>E18*E19</f>
        <v>15752872.549176261</v>
      </c>
      <c r="G19" s="120">
        <f t="shared" ref="G19:R20" si="10">INDEX(Alloc,($D19),(G$1))*$F19</f>
        <v>9085078.197350651</v>
      </c>
      <c r="H19" s="120">
        <f t="shared" si="10"/>
        <v>2094591.9652571564</v>
      </c>
      <c r="I19" s="120">
        <f t="shared" si="10"/>
        <v>2241921.3921151571</v>
      </c>
      <c r="J19" s="120">
        <f t="shared" si="10"/>
        <v>1177945.523487651</v>
      </c>
      <c r="K19" s="120">
        <f t="shared" si="10"/>
        <v>832127.36960252654</v>
      </c>
      <c r="L19" s="120">
        <f t="shared" si="10"/>
        <v>28.437374264305721</v>
      </c>
      <c r="M19" s="120">
        <f t="shared" si="10"/>
        <v>0</v>
      </c>
      <c r="N19" s="120">
        <f t="shared" si="10"/>
        <v>0</v>
      </c>
      <c r="O19" s="120">
        <f t="shared" si="10"/>
        <v>282638.47771268757</v>
      </c>
      <c r="P19" s="120">
        <f t="shared" si="10"/>
        <v>0</v>
      </c>
      <c r="Q19" s="120">
        <f t="shared" si="10"/>
        <v>32738.636444279753</v>
      </c>
      <c r="R19" s="120">
        <f t="shared" si="10"/>
        <v>5802.5498318878954</v>
      </c>
      <c r="T19" s="121">
        <f t="shared" si="9"/>
        <v>0</v>
      </c>
    </row>
    <row r="20" spans="1:20" s="56" customFormat="1" x14ac:dyDescent="0.25">
      <c r="A20" s="116"/>
      <c r="B20" s="117" t="s">
        <v>323</v>
      </c>
      <c r="C20" s="117"/>
      <c r="D20" s="56">
        <v>52</v>
      </c>
      <c r="E20" s="122">
        <v>0.89</v>
      </c>
      <c r="F20" s="119">
        <f>E18*E20</f>
        <v>127455059.71606247</v>
      </c>
      <c r="G20" s="120">
        <f t="shared" si="10"/>
        <v>66399437.870736189</v>
      </c>
      <c r="H20" s="120">
        <f t="shared" si="10"/>
        <v>16871318.041074269</v>
      </c>
      <c r="I20" s="120">
        <f t="shared" si="10"/>
        <v>18762197.664376773</v>
      </c>
      <c r="J20" s="120">
        <f t="shared" si="10"/>
        <v>12108481.044277307</v>
      </c>
      <c r="K20" s="120">
        <f t="shared" si="10"/>
        <v>8424388.3737736084</v>
      </c>
      <c r="L20" s="120">
        <f t="shared" si="10"/>
        <v>26600.919184445891</v>
      </c>
      <c r="M20" s="120">
        <f t="shared" si="10"/>
        <v>734172.46185073815</v>
      </c>
      <c r="N20" s="120">
        <f t="shared" si="10"/>
        <v>0</v>
      </c>
      <c r="O20" s="120">
        <f t="shared" si="10"/>
        <v>3646417.8121665148</v>
      </c>
      <c r="P20" s="120">
        <f t="shared" si="10"/>
        <v>0</v>
      </c>
      <c r="Q20" s="120">
        <f t="shared" si="10"/>
        <v>439073.91037705244</v>
      </c>
      <c r="R20" s="120">
        <f t="shared" si="10"/>
        <v>42971.618245603902</v>
      </c>
      <c r="T20" s="121">
        <f t="shared" si="9"/>
        <v>0</v>
      </c>
    </row>
    <row r="21" spans="1:20" x14ac:dyDescent="0.25">
      <c r="A21" s="25"/>
      <c r="B21" s="24" t="s">
        <v>189</v>
      </c>
      <c r="C21" s="24"/>
      <c r="D21" s="54"/>
      <c r="E21" s="55"/>
      <c r="F21" s="50">
        <f>SUM(F16:F20)</f>
        <v>180672605.83404735</v>
      </c>
      <c r="G21" s="50">
        <f t="shared" ref="G21:R21" si="11">SUM(G16:G20)</f>
        <v>95232044.7786652</v>
      </c>
      <c r="H21" s="50">
        <f t="shared" si="11"/>
        <v>23927587.869304676</v>
      </c>
      <c r="I21" s="50">
        <f t="shared" si="11"/>
        <v>26499013.44959303</v>
      </c>
      <c r="J21" s="50">
        <f t="shared" si="11"/>
        <v>16762292.927844271</v>
      </c>
      <c r="K21" s="50">
        <f t="shared" si="11"/>
        <v>11678115.826727821</v>
      </c>
      <c r="L21" s="50">
        <f t="shared" si="11"/>
        <v>33595.871157717891</v>
      </c>
      <c r="M21" s="50">
        <f t="shared" si="11"/>
        <v>926239.55751624133</v>
      </c>
      <c r="N21" s="50">
        <f t="shared" si="11"/>
        <v>0</v>
      </c>
      <c r="O21" s="50">
        <f t="shared" si="11"/>
        <v>4956937.9791501891</v>
      </c>
      <c r="P21" s="50">
        <f t="shared" si="11"/>
        <v>0</v>
      </c>
      <c r="Q21" s="50">
        <f t="shared" si="11"/>
        <v>595243.58009392186</v>
      </c>
      <c r="R21" s="50">
        <f t="shared" si="11"/>
        <v>61533.993994320452</v>
      </c>
      <c r="T21" s="97">
        <f t="shared" si="9"/>
        <v>0</v>
      </c>
    </row>
    <row r="22" spans="1:20" x14ac:dyDescent="0.25">
      <c r="A22" s="22"/>
      <c r="B22" s="16"/>
      <c r="C22" s="16"/>
      <c r="E22" s="48"/>
      <c r="F22" s="49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T22" s="97">
        <f t="shared" si="9"/>
        <v>0</v>
      </c>
    </row>
    <row r="23" spans="1:20" x14ac:dyDescent="0.25">
      <c r="A23" s="22"/>
      <c r="B23" s="20" t="s">
        <v>333</v>
      </c>
      <c r="C23" s="16"/>
      <c r="E23" s="48"/>
      <c r="F23" s="49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T23" s="97">
        <f t="shared" si="9"/>
        <v>0</v>
      </c>
    </row>
    <row r="24" spans="1:20" x14ac:dyDescent="0.25">
      <c r="A24" s="22">
        <v>555</v>
      </c>
      <c r="B24" s="16" t="s">
        <v>334</v>
      </c>
      <c r="C24" s="16" t="s">
        <v>186</v>
      </c>
      <c r="E24" s="49">
        <v>446679558.91286945</v>
      </c>
      <c r="F24" s="49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T24" s="97">
        <f t="shared" si="9"/>
        <v>0</v>
      </c>
    </row>
    <row r="25" spans="1:20" x14ac:dyDescent="0.25">
      <c r="A25" s="22"/>
      <c r="B25" s="16" t="s">
        <v>322</v>
      </c>
      <c r="C25" s="16"/>
      <c r="D25" s="19">
        <v>30</v>
      </c>
      <c r="E25" s="53">
        <v>0.11</v>
      </c>
      <c r="F25" s="49">
        <f>E24*E25</f>
        <v>49134751.480415642</v>
      </c>
      <c r="G25" s="39">
        <f t="shared" ref="G25:R26" si="12">INDEX(Alloc,($D25),(G$1))*$F25</f>
        <v>28337248.207490213</v>
      </c>
      <c r="H25" s="39">
        <f t="shared" si="12"/>
        <v>6533237.3727080943</v>
      </c>
      <c r="I25" s="39">
        <f t="shared" si="12"/>
        <v>6992772.2766960328</v>
      </c>
      <c r="J25" s="39">
        <f t="shared" si="12"/>
        <v>3674127.3931693407</v>
      </c>
      <c r="K25" s="39">
        <f t="shared" si="12"/>
        <v>2595486.7201417256</v>
      </c>
      <c r="L25" s="39">
        <f t="shared" si="12"/>
        <v>88.698953976193636</v>
      </c>
      <c r="M25" s="39">
        <f t="shared" si="12"/>
        <v>0</v>
      </c>
      <c r="N25" s="39">
        <f t="shared" si="12"/>
        <v>0</v>
      </c>
      <c r="O25" s="39">
        <f t="shared" si="12"/>
        <v>881577.07858444448</v>
      </c>
      <c r="P25" s="39">
        <f t="shared" si="12"/>
        <v>0</v>
      </c>
      <c r="Q25" s="39">
        <f t="shared" si="12"/>
        <v>102115.01175266477</v>
      </c>
      <c r="R25" s="39">
        <f t="shared" si="12"/>
        <v>18098.720919153751</v>
      </c>
      <c r="T25" s="97">
        <f t="shared" si="9"/>
        <v>0</v>
      </c>
    </row>
    <row r="26" spans="1:20" x14ac:dyDescent="0.25">
      <c r="A26" s="22"/>
      <c r="B26" s="16" t="s">
        <v>323</v>
      </c>
      <c r="C26" s="16"/>
      <c r="D26" s="19">
        <v>52</v>
      </c>
      <c r="E26" s="53">
        <v>0.89</v>
      </c>
      <c r="F26" s="49">
        <f>E24*E26</f>
        <v>397544807.43245381</v>
      </c>
      <c r="G26" s="39">
        <f t="shared" si="12"/>
        <v>207106346.35259098</v>
      </c>
      <c r="H26" s="39">
        <f t="shared" si="12"/>
        <v>52623292.450784467</v>
      </c>
      <c r="I26" s="39">
        <f t="shared" si="12"/>
        <v>58521131.088170566</v>
      </c>
      <c r="J26" s="39">
        <f t="shared" si="12"/>
        <v>37767537.638524197</v>
      </c>
      <c r="K26" s="39">
        <f t="shared" si="12"/>
        <v>26276491.974888358</v>
      </c>
      <c r="L26" s="39">
        <f t="shared" si="12"/>
        <v>82970.870817253948</v>
      </c>
      <c r="M26" s="39">
        <f t="shared" si="12"/>
        <v>2289955.7743636593</v>
      </c>
      <c r="N26" s="39">
        <f t="shared" si="12"/>
        <v>0</v>
      </c>
      <c r="O26" s="39">
        <f t="shared" si="12"/>
        <v>11373534.092607856</v>
      </c>
      <c r="P26" s="39">
        <f t="shared" si="12"/>
        <v>0</v>
      </c>
      <c r="Q26" s="39">
        <f t="shared" si="12"/>
        <v>1369514.5060409242</v>
      </c>
      <c r="R26" s="39">
        <f t="shared" si="12"/>
        <v>134032.68366564991</v>
      </c>
      <c r="T26" s="97">
        <f t="shared" si="9"/>
        <v>0</v>
      </c>
    </row>
    <row r="27" spans="1:20" x14ac:dyDescent="0.25">
      <c r="A27" s="22">
        <v>555.01</v>
      </c>
      <c r="B27" s="16" t="s">
        <v>335</v>
      </c>
      <c r="C27" s="16" t="s">
        <v>112</v>
      </c>
      <c r="E27" s="48"/>
      <c r="F27" s="49">
        <v>0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T27" s="97">
        <f t="shared" si="9"/>
        <v>0</v>
      </c>
    </row>
    <row r="28" spans="1:20" x14ac:dyDescent="0.25">
      <c r="A28" s="22"/>
      <c r="B28" s="16" t="s">
        <v>322</v>
      </c>
      <c r="C28" s="16"/>
      <c r="E28" s="53">
        <v>0.11</v>
      </c>
      <c r="F28" s="49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T28" s="97">
        <f t="shared" si="9"/>
        <v>0</v>
      </c>
    </row>
    <row r="29" spans="1:20" x14ac:dyDescent="0.25">
      <c r="A29" s="22"/>
      <c r="B29" s="16" t="s">
        <v>323</v>
      </c>
      <c r="C29" s="16"/>
      <c r="E29" s="53">
        <v>0.89</v>
      </c>
      <c r="F29" s="4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T29" s="97">
        <f t="shared" si="9"/>
        <v>0</v>
      </c>
    </row>
    <row r="30" spans="1:20" x14ac:dyDescent="0.25">
      <c r="A30" s="25"/>
      <c r="B30" s="24" t="s">
        <v>189</v>
      </c>
      <c r="C30" s="24"/>
      <c r="D30" s="54"/>
      <c r="E30" s="55"/>
      <c r="F30" s="50">
        <f>SUM(F25:F29)</f>
        <v>446679558.91286945</v>
      </c>
      <c r="G30" s="50">
        <f t="shared" ref="G30:R30" si="13">SUM(G25:G29)</f>
        <v>235443594.56008118</v>
      </c>
      <c r="H30" s="50">
        <f t="shared" si="13"/>
        <v>59156529.823492564</v>
      </c>
      <c r="I30" s="50">
        <f t="shared" si="13"/>
        <v>65513903.364866599</v>
      </c>
      <c r="J30" s="50">
        <f t="shared" si="13"/>
        <v>41441665.031693541</v>
      </c>
      <c r="K30" s="50">
        <f t="shared" si="13"/>
        <v>28871978.695030086</v>
      </c>
      <c r="L30" s="50">
        <f t="shared" si="13"/>
        <v>83059.569771230148</v>
      </c>
      <c r="M30" s="50">
        <f t="shared" si="13"/>
        <v>2289955.7743636593</v>
      </c>
      <c r="N30" s="50">
        <f t="shared" si="13"/>
        <v>0</v>
      </c>
      <c r="O30" s="50">
        <f>SUM(O25:O29)</f>
        <v>12255111.1711923</v>
      </c>
      <c r="P30" s="50">
        <f t="shared" si="13"/>
        <v>0</v>
      </c>
      <c r="Q30" s="50">
        <f t="shared" si="13"/>
        <v>1471629.517793589</v>
      </c>
      <c r="R30" s="50">
        <f t="shared" si="13"/>
        <v>152131.40458480365</v>
      </c>
      <c r="T30" s="97">
        <f t="shared" si="9"/>
        <v>0</v>
      </c>
    </row>
    <row r="31" spans="1:20" x14ac:dyDescent="0.25">
      <c r="A31" s="22"/>
      <c r="B31" s="16"/>
      <c r="C31" s="16"/>
      <c r="E31" s="48"/>
      <c r="F31" s="49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T31" s="97">
        <f t="shared" si="9"/>
        <v>0</v>
      </c>
    </row>
    <row r="32" spans="1:20" x14ac:dyDescent="0.25">
      <c r="A32" s="22"/>
      <c r="B32" s="20" t="s">
        <v>336</v>
      </c>
      <c r="C32" s="16"/>
      <c r="E32" s="48"/>
      <c r="F32" s="49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T32" s="97">
        <f t="shared" si="9"/>
        <v>0</v>
      </c>
    </row>
    <row r="33" spans="1:20" x14ac:dyDescent="0.25">
      <c r="A33" s="22">
        <v>565</v>
      </c>
      <c r="B33" s="16" t="s">
        <v>337</v>
      </c>
      <c r="C33" s="16" t="s">
        <v>158</v>
      </c>
      <c r="E33" s="48">
        <v>112334321.32462588</v>
      </c>
      <c r="F33" s="49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T33" s="97">
        <f t="shared" si="9"/>
        <v>0</v>
      </c>
    </row>
    <row r="34" spans="1:20" x14ac:dyDescent="0.25">
      <c r="A34" s="22"/>
      <c r="B34" s="16" t="s">
        <v>322</v>
      </c>
      <c r="C34" s="16"/>
      <c r="D34" s="19">
        <v>30</v>
      </c>
      <c r="E34" s="53">
        <v>0.11</v>
      </c>
      <c r="F34" s="49">
        <f>E33*E34</f>
        <v>12356775.345708847</v>
      </c>
      <c r="G34" s="39">
        <f t="shared" ref="G34:R35" si="14">INDEX(Alloc,($D34),(G$1))*$F34</f>
        <v>7126463.4391224002</v>
      </c>
      <c r="H34" s="39">
        <f t="shared" si="14"/>
        <v>1643027.4716443953</v>
      </c>
      <c r="I34" s="39">
        <f t="shared" si="14"/>
        <v>1758594.7514413462</v>
      </c>
      <c r="J34" s="39">
        <f t="shared" si="14"/>
        <v>923997.07785240992</v>
      </c>
      <c r="K34" s="39">
        <f t="shared" si="14"/>
        <v>652732.44185116794</v>
      </c>
      <c r="L34" s="39">
        <f t="shared" si="14"/>
        <v>22.306677344649952</v>
      </c>
      <c r="M34" s="39">
        <f t="shared" si="14"/>
        <v>0</v>
      </c>
      <c r="N34" s="39">
        <f t="shared" si="14"/>
        <v>0</v>
      </c>
      <c r="O34" s="39">
        <f t="shared" si="14"/>
        <v>221705.6071675921</v>
      </c>
      <c r="P34" s="39">
        <f t="shared" si="14"/>
        <v>0</v>
      </c>
      <c r="Q34" s="39">
        <f t="shared" si="14"/>
        <v>25680.648047136987</v>
      </c>
      <c r="R34" s="39">
        <f t="shared" si="14"/>
        <v>4551.6019050550049</v>
      </c>
      <c r="T34" s="97">
        <f t="shared" si="9"/>
        <v>0</v>
      </c>
    </row>
    <row r="35" spans="1:20" x14ac:dyDescent="0.25">
      <c r="A35" s="22"/>
      <c r="B35" s="16" t="s">
        <v>323</v>
      </c>
      <c r="C35" s="16"/>
      <c r="D35" s="19">
        <v>52</v>
      </c>
      <c r="E35" s="53">
        <v>0.89</v>
      </c>
      <c r="F35" s="49">
        <f>E33*E35</f>
        <v>99977545.978917032</v>
      </c>
      <c r="G35" s="39">
        <f t="shared" si="14"/>
        <v>52084655.308973692</v>
      </c>
      <c r="H35" s="39">
        <f t="shared" si="14"/>
        <v>13234099.759821953</v>
      </c>
      <c r="I35" s="39">
        <f t="shared" si="14"/>
        <v>14717332.398059063</v>
      </c>
      <c r="J35" s="39">
        <f t="shared" si="14"/>
        <v>9498063.2627369706</v>
      </c>
      <c r="K35" s="39">
        <f t="shared" si="14"/>
        <v>6608209.0256716656</v>
      </c>
      <c r="L35" s="39">
        <f t="shared" si="14"/>
        <v>20866.136085684429</v>
      </c>
      <c r="M35" s="39">
        <f t="shared" si="14"/>
        <v>575895.23103009921</v>
      </c>
      <c r="N35" s="39">
        <f t="shared" si="14"/>
        <v>0</v>
      </c>
      <c r="O35" s="39">
        <f t="shared" si="14"/>
        <v>2860301.5469638221</v>
      </c>
      <c r="P35" s="39">
        <f t="shared" si="14"/>
        <v>0</v>
      </c>
      <c r="Q35" s="39">
        <f t="shared" si="14"/>
        <v>344415.76631525822</v>
      </c>
      <c r="R35" s="39">
        <f t="shared" si="14"/>
        <v>33707.543258848811</v>
      </c>
      <c r="T35" s="97">
        <f t="shared" si="9"/>
        <v>0</v>
      </c>
    </row>
    <row r="36" spans="1:20" x14ac:dyDescent="0.25">
      <c r="A36" s="25"/>
      <c r="B36" s="24" t="s">
        <v>189</v>
      </c>
      <c r="C36" s="24"/>
      <c r="D36" s="54"/>
      <c r="E36" s="55"/>
      <c r="F36" s="50">
        <f>SUM(F34:F35)</f>
        <v>112334321.32462588</v>
      </c>
      <c r="G36" s="50">
        <f t="shared" ref="G36:R36" si="15">SUM(G34:G35)</f>
        <v>59211118.748096094</v>
      </c>
      <c r="H36" s="50">
        <f t="shared" si="15"/>
        <v>14877127.231466349</v>
      </c>
      <c r="I36" s="50">
        <f t="shared" si="15"/>
        <v>16475927.149500409</v>
      </c>
      <c r="J36" s="50">
        <f t="shared" si="15"/>
        <v>10422060.34058938</v>
      </c>
      <c r="K36" s="50">
        <f t="shared" si="15"/>
        <v>7260941.4675228335</v>
      </c>
      <c r="L36" s="50">
        <f t="shared" si="15"/>
        <v>20888.442763029081</v>
      </c>
      <c r="M36" s="50">
        <f t="shared" si="15"/>
        <v>575895.23103009921</v>
      </c>
      <c r="N36" s="50">
        <f t="shared" si="15"/>
        <v>0</v>
      </c>
      <c r="O36" s="50">
        <f t="shared" si="15"/>
        <v>3082007.1541314144</v>
      </c>
      <c r="P36" s="50">
        <f t="shared" si="15"/>
        <v>0</v>
      </c>
      <c r="Q36" s="50">
        <f t="shared" si="15"/>
        <v>370096.41436239518</v>
      </c>
      <c r="R36" s="50">
        <f t="shared" si="15"/>
        <v>38259.145163903813</v>
      </c>
      <c r="T36" s="97">
        <f t="shared" si="9"/>
        <v>0</v>
      </c>
    </row>
    <row r="37" spans="1:20" x14ac:dyDescent="0.25">
      <c r="A37" s="22"/>
      <c r="B37" s="16"/>
      <c r="C37" s="16"/>
      <c r="E37" s="48"/>
      <c r="F37" s="49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T37" s="97">
        <f t="shared" si="9"/>
        <v>0</v>
      </c>
    </row>
    <row r="38" spans="1:20" x14ac:dyDescent="0.25">
      <c r="A38" s="22"/>
      <c r="B38" s="20" t="s">
        <v>338</v>
      </c>
      <c r="C38" s="16"/>
      <c r="E38" s="48">
        <v>109175792.16812748</v>
      </c>
      <c r="F38" s="49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T38" s="97">
        <f t="shared" si="9"/>
        <v>0</v>
      </c>
    </row>
    <row r="39" spans="1:20" x14ac:dyDescent="0.25">
      <c r="A39" s="22"/>
      <c r="B39" s="16" t="s">
        <v>322</v>
      </c>
      <c r="C39" s="16"/>
      <c r="D39" s="19">
        <v>30</v>
      </c>
      <c r="E39" s="53">
        <v>0.11</v>
      </c>
      <c r="F39" s="49">
        <f>E38*E39</f>
        <v>12009337.138494022</v>
      </c>
      <c r="G39" s="39">
        <f t="shared" ref="G39:R40" si="16">INDEX(Alloc,($D39),(G$1))*$F39</f>
        <v>6926087.0778308166</v>
      </c>
      <c r="H39" s="39">
        <f t="shared" si="16"/>
        <v>1596830.1019276208</v>
      </c>
      <c r="I39" s="39">
        <f t="shared" si="16"/>
        <v>1709147.9507539512</v>
      </c>
      <c r="J39" s="39">
        <f t="shared" si="16"/>
        <v>898016.84601852263</v>
      </c>
      <c r="K39" s="39">
        <f t="shared" si="16"/>
        <v>634379.41826346633</v>
      </c>
      <c r="L39" s="39">
        <f t="shared" si="16"/>
        <v>21.679475524699718</v>
      </c>
      <c r="M39" s="39">
        <f t="shared" si="16"/>
        <v>0</v>
      </c>
      <c r="N39" s="39">
        <f t="shared" si="16"/>
        <v>0</v>
      </c>
      <c r="O39" s="39">
        <f t="shared" si="16"/>
        <v>215471.86118381226</v>
      </c>
      <c r="P39" s="39">
        <f t="shared" si="16"/>
        <v>0</v>
      </c>
      <c r="Q39" s="39">
        <f t="shared" si="16"/>
        <v>24958.579540751893</v>
      </c>
      <c r="R39" s="39">
        <f t="shared" si="16"/>
        <v>4423.6234995564319</v>
      </c>
      <c r="T39" s="97">
        <f t="shared" si="9"/>
        <v>0</v>
      </c>
    </row>
    <row r="40" spans="1:20" x14ac:dyDescent="0.25">
      <c r="A40" s="22"/>
      <c r="B40" s="16" t="s">
        <v>323</v>
      </c>
      <c r="C40" s="16"/>
      <c r="D40" s="19">
        <v>52</v>
      </c>
      <c r="E40" s="53">
        <v>0.89</v>
      </c>
      <c r="F40" s="49">
        <f>E38*E40</f>
        <v>97166455.029633462</v>
      </c>
      <c r="G40" s="39">
        <f t="shared" si="16"/>
        <v>50620179.443898089</v>
      </c>
      <c r="H40" s="39">
        <f t="shared" si="16"/>
        <v>12861993.626464805</v>
      </c>
      <c r="I40" s="39">
        <f t="shared" si="16"/>
        <v>14303521.881940713</v>
      </c>
      <c r="J40" s="39">
        <f t="shared" si="16"/>
        <v>9231004.100480346</v>
      </c>
      <c r="K40" s="39">
        <f t="shared" si="16"/>
        <v>6422404.5392627176</v>
      </c>
      <c r="L40" s="39">
        <f t="shared" si="16"/>
        <v>20279.438285466807</v>
      </c>
      <c r="M40" s="39">
        <f t="shared" si="16"/>
        <v>559702.65642914164</v>
      </c>
      <c r="N40" s="39">
        <f t="shared" si="16"/>
        <v>0</v>
      </c>
      <c r="O40" s="39">
        <f t="shared" si="16"/>
        <v>2779877.810692206</v>
      </c>
      <c r="P40" s="39">
        <f t="shared" si="16"/>
        <v>0</v>
      </c>
      <c r="Q40" s="39">
        <f t="shared" si="16"/>
        <v>334731.75142972026</v>
      </c>
      <c r="R40" s="39">
        <f t="shared" si="16"/>
        <v>32759.780750279977</v>
      </c>
      <c r="T40" s="97">
        <f t="shared" si="9"/>
        <v>0</v>
      </c>
    </row>
    <row r="41" spans="1:20" x14ac:dyDescent="0.25">
      <c r="A41" s="25"/>
      <c r="B41" s="24" t="s">
        <v>189</v>
      </c>
      <c r="C41" s="24"/>
      <c r="D41" s="54"/>
      <c r="E41" s="55"/>
      <c r="F41" s="50">
        <f>SUM(F39:F40)</f>
        <v>109175792.16812748</v>
      </c>
      <c r="G41" s="50">
        <f t="shared" ref="G41:R41" si="17">SUM(G39:G40)</f>
        <v>57546266.521728903</v>
      </c>
      <c r="H41" s="50">
        <f t="shared" si="17"/>
        <v>14458823.728392426</v>
      </c>
      <c r="I41" s="50">
        <f t="shared" si="17"/>
        <v>16012669.832694665</v>
      </c>
      <c r="J41" s="50">
        <f t="shared" si="17"/>
        <v>10129020.946498869</v>
      </c>
      <c r="K41" s="50">
        <f t="shared" si="17"/>
        <v>7056783.9575261837</v>
      </c>
      <c r="L41" s="50">
        <f t="shared" si="17"/>
        <v>20301.117760991507</v>
      </c>
      <c r="M41" s="50">
        <f t="shared" si="17"/>
        <v>559702.65642914164</v>
      </c>
      <c r="N41" s="50">
        <f t="shared" si="17"/>
        <v>0</v>
      </c>
      <c r="O41" s="50">
        <f t="shared" si="17"/>
        <v>2995349.6718760184</v>
      </c>
      <c r="P41" s="50">
        <f t="shared" si="17"/>
        <v>0</v>
      </c>
      <c r="Q41" s="50">
        <f t="shared" si="17"/>
        <v>359690.33097047213</v>
      </c>
      <c r="R41" s="50">
        <f t="shared" si="17"/>
        <v>37183.404249836407</v>
      </c>
      <c r="T41" s="97">
        <f t="shared" si="9"/>
        <v>0</v>
      </c>
    </row>
    <row r="42" spans="1:20" x14ac:dyDescent="0.25">
      <c r="A42" s="21"/>
      <c r="B42" s="16"/>
      <c r="C42" s="16"/>
      <c r="E42" s="48"/>
      <c r="F42" s="49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T42" s="97">
        <f t="shared" si="9"/>
        <v>0</v>
      </c>
    </row>
    <row r="43" spans="1:20" s="56" customFormat="1" x14ac:dyDescent="0.25">
      <c r="A43" s="21"/>
      <c r="B43" s="20" t="s">
        <v>339</v>
      </c>
      <c r="C43" s="16"/>
      <c r="D43" s="62"/>
      <c r="E43" s="63">
        <v>24808255.514376964</v>
      </c>
      <c r="F43" s="4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T43" s="97">
        <f t="shared" si="9"/>
        <v>0</v>
      </c>
    </row>
    <row r="44" spans="1:20" s="56" customFormat="1" x14ac:dyDescent="0.25">
      <c r="A44" s="22">
        <v>565.01</v>
      </c>
      <c r="B44" s="16" t="s">
        <v>340</v>
      </c>
      <c r="C44" s="16" t="s">
        <v>193</v>
      </c>
      <c r="D44" s="62"/>
      <c r="E44" s="63">
        <v>19056918.888669107</v>
      </c>
      <c r="F44" s="4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T44" s="97">
        <f t="shared" si="9"/>
        <v>0</v>
      </c>
    </row>
    <row r="45" spans="1:20" s="56" customFormat="1" x14ac:dyDescent="0.25">
      <c r="A45" s="22"/>
      <c r="B45" s="16" t="s">
        <v>322</v>
      </c>
      <c r="C45" s="16"/>
      <c r="D45" s="62">
        <v>29</v>
      </c>
      <c r="E45" s="64">
        <v>0.11</v>
      </c>
      <c r="F45" s="49">
        <f>E44*E45</f>
        <v>2096261.0777536018</v>
      </c>
      <c r="G45" s="65">
        <f t="shared" ref="G45:R46" si="18">INDEX(Alloc,($D45),(G$1))*$F45</f>
        <v>1120910.8725859504</v>
      </c>
      <c r="H45" s="65">
        <f t="shared" si="18"/>
        <v>258429.35597104594</v>
      </c>
      <c r="I45" s="65">
        <f t="shared" si="18"/>
        <v>276606.76213417045</v>
      </c>
      <c r="J45" s="65">
        <f t="shared" si="18"/>
        <v>145334.1309683276</v>
      </c>
      <c r="K45" s="65">
        <f t="shared" si="18"/>
        <v>102667.31839862658</v>
      </c>
      <c r="L45" s="65">
        <f t="shared" si="18"/>
        <v>3.5085842199962172</v>
      </c>
      <c r="M45" s="65">
        <f t="shared" si="18"/>
        <v>0</v>
      </c>
      <c r="N45" s="65">
        <f t="shared" si="18"/>
        <v>26461.192683167512</v>
      </c>
      <c r="O45" s="65">
        <f t="shared" si="18"/>
        <v>34871.746373265196</v>
      </c>
      <c r="P45" s="65">
        <f t="shared" si="18"/>
        <v>126221.00426546298</v>
      </c>
      <c r="Q45" s="65">
        <f t="shared" si="18"/>
        <v>4039.2710714073164</v>
      </c>
      <c r="R45" s="65">
        <f t="shared" si="18"/>
        <v>715.91471795824805</v>
      </c>
      <c r="T45" s="97">
        <f t="shared" si="9"/>
        <v>0</v>
      </c>
    </row>
    <row r="46" spans="1:20" s="56" customFormat="1" x14ac:dyDescent="0.25">
      <c r="A46" s="22"/>
      <c r="B46" s="16" t="s">
        <v>323</v>
      </c>
      <c r="C46" s="16"/>
      <c r="D46" s="62">
        <v>51</v>
      </c>
      <c r="E46" s="64">
        <v>0.89</v>
      </c>
      <c r="F46" s="49">
        <f>E44*E46</f>
        <v>16960657.810915507</v>
      </c>
      <c r="G46" s="65">
        <f t="shared" si="18"/>
        <v>7962511.3400887698</v>
      </c>
      <c r="H46" s="65">
        <f t="shared" si="18"/>
        <v>2023180.7005026483</v>
      </c>
      <c r="I46" s="65">
        <f t="shared" si="18"/>
        <v>2249931.8737972127</v>
      </c>
      <c r="J46" s="65">
        <f t="shared" si="18"/>
        <v>1452029.1243128108</v>
      </c>
      <c r="K46" s="65">
        <f t="shared" si="18"/>
        <v>1010238.7928354405</v>
      </c>
      <c r="L46" s="65">
        <f t="shared" si="18"/>
        <v>3189.9384611550313</v>
      </c>
      <c r="M46" s="65">
        <f t="shared" si="18"/>
        <v>88040.753664931268</v>
      </c>
      <c r="N46" s="65">
        <f t="shared" si="18"/>
        <v>242897.24692401852</v>
      </c>
      <c r="O46" s="65">
        <f t="shared" si="18"/>
        <v>437272.42445336748</v>
      </c>
      <c r="P46" s="65">
        <f t="shared" si="18"/>
        <v>1433559.5092094762</v>
      </c>
      <c r="Q46" s="65">
        <f t="shared" si="18"/>
        <v>52653.020908407845</v>
      </c>
      <c r="R46" s="65">
        <f t="shared" si="18"/>
        <v>5153.0857572724353</v>
      </c>
      <c r="T46" s="97">
        <f t="shared" si="9"/>
        <v>0</v>
      </c>
    </row>
    <row r="47" spans="1:20" s="56" customFormat="1" x14ac:dyDescent="0.25">
      <c r="A47" s="22">
        <v>565.02</v>
      </c>
      <c r="B47" s="16" t="s">
        <v>341</v>
      </c>
      <c r="C47" s="16" t="s">
        <v>186</v>
      </c>
      <c r="D47" s="62"/>
      <c r="E47" s="63">
        <v>2801718.1714950614</v>
      </c>
      <c r="F47" s="4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T47" s="97">
        <f t="shared" si="9"/>
        <v>0</v>
      </c>
    </row>
    <row r="48" spans="1:20" s="56" customFormat="1" x14ac:dyDescent="0.25">
      <c r="A48" s="22"/>
      <c r="B48" s="16" t="s">
        <v>322</v>
      </c>
      <c r="C48" s="16"/>
      <c r="D48" s="62">
        <v>30</v>
      </c>
      <c r="E48" s="64">
        <v>0.11</v>
      </c>
      <c r="F48" s="49">
        <f>E47*E48</f>
        <v>308188.99886445678</v>
      </c>
      <c r="G48" s="65">
        <f t="shared" ref="G48:R49" si="19">INDEX(Alloc,($D48),(G$1))*$F48</f>
        <v>177740.35468808594</v>
      </c>
      <c r="H48" s="65">
        <f t="shared" si="19"/>
        <v>40978.570656682787</v>
      </c>
      <c r="I48" s="65">
        <f t="shared" si="19"/>
        <v>43860.92169614548</v>
      </c>
      <c r="J48" s="65">
        <f t="shared" si="19"/>
        <v>23045.311289559755</v>
      </c>
      <c r="K48" s="65">
        <f t="shared" si="19"/>
        <v>16279.729310634631</v>
      </c>
      <c r="L48" s="65">
        <f t="shared" si="19"/>
        <v>0.55634842962711173</v>
      </c>
      <c r="M48" s="65">
        <f t="shared" si="19"/>
        <v>0</v>
      </c>
      <c r="N48" s="65">
        <f t="shared" si="19"/>
        <v>0</v>
      </c>
      <c r="O48" s="65">
        <f t="shared" si="19"/>
        <v>5529.5355951700476</v>
      </c>
      <c r="P48" s="65">
        <f t="shared" si="19"/>
        <v>0</v>
      </c>
      <c r="Q48" s="65">
        <f t="shared" si="19"/>
        <v>640.49826839217337</v>
      </c>
      <c r="R48" s="65">
        <f t="shared" si="19"/>
        <v>113.52101135638047</v>
      </c>
      <c r="T48" s="97">
        <f t="shared" si="9"/>
        <v>0</v>
      </c>
    </row>
    <row r="49" spans="1:20" s="56" customFormat="1" x14ac:dyDescent="0.25">
      <c r="A49" s="22"/>
      <c r="B49" s="16" t="s">
        <v>323</v>
      </c>
      <c r="C49" s="16"/>
      <c r="D49" s="62">
        <v>52</v>
      </c>
      <c r="E49" s="64">
        <v>0.89</v>
      </c>
      <c r="F49" s="49">
        <f>E47*E49</f>
        <v>2493529.1726306048</v>
      </c>
      <c r="G49" s="65">
        <f t="shared" si="19"/>
        <v>1299037.7608060413</v>
      </c>
      <c r="H49" s="65">
        <f t="shared" si="19"/>
        <v>330070.25229023508</v>
      </c>
      <c r="I49" s="65">
        <f t="shared" si="19"/>
        <v>367063.39727122925</v>
      </c>
      <c r="J49" s="65">
        <f t="shared" si="19"/>
        <v>236890.1696598955</v>
      </c>
      <c r="K49" s="65">
        <f t="shared" si="19"/>
        <v>164814.62735470568</v>
      </c>
      <c r="L49" s="65">
        <f t="shared" si="19"/>
        <v>520.42004572412998</v>
      </c>
      <c r="M49" s="65">
        <f t="shared" si="19"/>
        <v>14363.340737081266</v>
      </c>
      <c r="N49" s="65">
        <f t="shared" si="19"/>
        <v>0</v>
      </c>
      <c r="O49" s="65">
        <f t="shared" si="19"/>
        <v>71338.471854257805</v>
      </c>
      <c r="P49" s="65">
        <f t="shared" si="19"/>
        <v>0</v>
      </c>
      <c r="Q49" s="65">
        <f t="shared" si="19"/>
        <v>8590.0364167982789</v>
      </c>
      <c r="R49" s="65">
        <f t="shared" si="19"/>
        <v>840.69619463726349</v>
      </c>
      <c r="T49" s="97">
        <f t="shared" si="9"/>
        <v>0</v>
      </c>
    </row>
    <row r="50" spans="1:20" s="62" customFormat="1" x14ac:dyDescent="0.25">
      <c r="A50" s="22">
        <v>565.03</v>
      </c>
      <c r="B50" s="16" t="s">
        <v>342</v>
      </c>
      <c r="C50" s="16" t="s">
        <v>27</v>
      </c>
      <c r="E50" s="49">
        <v>6423.5119633552431</v>
      </c>
      <c r="F50" s="4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T50" s="97">
        <f t="shared" si="9"/>
        <v>0</v>
      </c>
    </row>
    <row r="51" spans="1:20" s="62" customFormat="1" x14ac:dyDescent="0.25">
      <c r="A51" s="22"/>
      <c r="B51" s="16" t="s">
        <v>322</v>
      </c>
      <c r="C51" s="16"/>
      <c r="D51" s="62">
        <v>6</v>
      </c>
      <c r="E51" s="64">
        <v>1</v>
      </c>
      <c r="F51" s="49">
        <f>E50*E51</f>
        <v>6423.5119633552431</v>
      </c>
      <c r="G51" s="65">
        <f t="shared" ref="G51:R51" si="20">INDEX(Alloc,($D51),(G$1))*$F51</f>
        <v>0</v>
      </c>
      <c r="H51" s="65">
        <f t="shared" si="20"/>
        <v>0</v>
      </c>
      <c r="I51" s="65">
        <f t="shared" si="20"/>
        <v>0</v>
      </c>
      <c r="J51" s="65">
        <f t="shared" si="20"/>
        <v>0</v>
      </c>
      <c r="K51" s="65">
        <f t="shared" si="20"/>
        <v>0</v>
      </c>
      <c r="L51" s="65"/>
      <c r="M51" s="65"/>
      <c r="N51" s="65">
        <f t="shared" si="20"/>
        <v>0</v>
      </c>
      <c r="O51" s="65">
        <f t="shared" si="20"/>
        <v>0</v>
      </c>
      <c r="P51" s="65">
        <f t="shared" si="20"/>
        <v>6423.5119633552431</v>
      </c>
      <c r="Q51" s="65">
        <f t="shared" si="20"/>
        <v>0</v>
      </c>
      <c r="R51" s="65">
        <f t="shared" si="20"/>
        <v>0</v>
      </c>
      <c r="T51" s="97">
        <f t="shared" si="9"/>
        <v>0</v>
      </c>
    </row>
    <row r="52" spans="1:20" s="62" customFormat="1" x14ac:dyDescent="0.25">
      <c r="A52" s="22"/>
      <c r="B52" s="16" t="s">
        <v>323</v>
      </c>
      <c r="C52" s="16"/>
      <c r="E52" s="63"/>
      <c r="F52" s="4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T52" s="97">
        <f t="shared" si="9"/>
        <v>0</v>
      </c>
    </row>
    <row r="53" spans="1:20" s="62" customFormat="1" x14ac:dyDescent="0.25">
      <c r="A53" s="22">
        <v>565.04</v>
      </c>
      <c r="B53" s="16" t="s">
        <v>343</v>
      </c>
      <c r="C53" s="16" t="s">
        <v>186</v>
      </c>
      <c r="E53" s="49">
        <v>2943194.9422494383</v>
      </c>
      <c r="F53" s="4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T53" s="97">
        <f t="shared" si="9"/>
        <v>0</v>
      </c>
    </row>
    <row r="54" spans="1:20" s="62" customFormat="1" x14ac:dyDescent="0.25">
      <c r="A54" s="22"/>
      <c r="B54" s="16" t="s">
        <v>322</v>
      </c>
      <c r="C54" s="16"/>
      <c r="D54" s="62">
        <v>30</v>
      </c>
      <c r="E54" s="64">
        <v>0.11</v>
      </c>
      <c r="F54" s="49">
        <f>E53*E54</f>
        <v>323751.44364743819</v>
      </c>
      <c r="G54" s="65">
        <f t="shared" ref="G54:R55" si="21">INDEX(Alloc,($D54),(G$1))*$F54</f>
        <v>186715.60839841518</v>
      </c>
      <c r="H54" s="65">
        <f t="shared" si="21"/>
        <v>43047.842257810262</v>
      </c>
      <c r="I54" s="65">
        <f t="shared" si="21"/>
        <v>46075.741740150806</v>
      </c>
      <c r="J54" s="65">
        <f t="shared" si="21"/>
        <v>24209.017280921649</v>
      </c>
      <c r="K54" s="65">
        <f t="shared" si="21"/>
        <v>17101.797552564516</v>
      </c>
      <c r="L54" s="65">
        <f t="shared" si="21"/>
        <v>0.58444204019748203</v>
      </c>
      <c r="M54" s="65">
        <f t="shared" si="21"/>
        <v>0</v>
      </c>
      <c r="N54" s="65">
        <f t="shared" si="21"/>
        <v>0</v>
      </c>
      <c r="O54" s="65">
        <f t="shared" si="21"/>
        <v>5808.7574126016643</v>
      </c>
      <c r="P54" s="65">
        <f t="shared" si="21"/>
        <v>0</v>
      </c>
      <c r="Q54" s="65">
        <f t="shared" si="21"/>
        <v>672.84114556227075</v>
      </c>
      <c r="R54" s="65">
        <f t="shared" si="21"/>
        <v>119.25341737168689</v>
      </c>
      <c r="T54" s="97">
        <f t="shared" si="9"/>
        <v>0</v>
      </c>
    </row>
    <row r="55" spans="1:20" s="62" customFormat="1" x14ac:dyDescent="0.25">
      <c r="A55" s="22"/>
      <c r="B55" s="16" t="s">
        <v>323</v>
      </c>
      <c r="C55" s="16"/>
      <c r="D55" s="62">
        <v>52</v>
      </c>
      <c r="E55" s="64">
        <v>0.89</v>
      </c>
      <c r="F55" s="49">
        <f>E53*E55</f>
        <v>2619443.4986020001</v>
      </c>
      <c r="G55" s="65">
        <f t="shared" si="21"/>
        <v>1364634.5325858251</v>
      </c>
      <c r="H55" s="65">
        <f t="shared" si="21"/>
        <v>346737.62229597196</v>
      </c>
      <c r="I55" s="65">
        <f t="shared" si="21"/>
        <v>385598.78910200455</v>
      </c>
      <c r="J55" s="65">
        <f t="shared" si="21"/>
        <v>248852.27797182981</v>
      </c>
      <c r="K55" s="65">
        <f t="shared" si="21"/>
        <v>173137.17795542759</v>
      </c>
      <c r="L55" s="65">
        <f t="shared" si="21"/>
        <v>546.69940110469122</v>
      </c>
      <c r="M55" s="65">
        <f t="shared" si="21"/>
        <v>15088.638193978111</v>
      </c>
      <c r="N55" s="65">
        <f t="shared" si="21"/>
        <v>0</v>
      </c>
      <c r="O55" s="65">
        <f t="shared" si="21"/>
        <v>74940.810137664332</v>
      </c>
      <c r="P55" s="65">
        <f t="shared" si="21"/>
        <v>0</v>
      </c>
      <c r="Q55" s="65">
        <f t="shared" si="21"/>
        <v>9023.8026054448001</v>
      </c>
      <c r="R55" s="65">
        <f t="shared" si="21"/>
        <v>883.14835274969221</v>
      </c>
      <c r="T55" s="97">
        <f t="shared" si="9"/>
        <v>0</v>
      </c>
    </row>
    <row r="56" spans="1:20" s="56" customFormat="1" x14ac:dyDescent="0.25">
      <c r="A56" s="25"/>
      <c r="B56" s="24" t="s">
        <v>189</v>
      </c>
      <c r="C56" s="24"/>
      <c r="D56" s="66"/>
      <c r="E56" s="67"/>
      <c r="F56" s="50">
        <f>SUM(F45:F55)</f>
        <v>24808255.514376964</v>
      </c>
      <c r="G56" s="50">
        <f t="shared" ref="G56:R56" si="22">SUM(G45:G55)</f>
        <v>12111550.469153088</v>
      </c>
      <c r="H56" s="50">
        <f t="shared" si="22"/>
        <v>3042444.3439743943</v>
      </c>
      <c r="I56" s="50">
        <f t="shared" si="22"/>
        <v>3369137.4857409135</v>
      </c>
      <c r="J56" s="50">
        <f t="shared" si="22"/>
        <v>2130360.0314833452</v>
      </c>
      <c r="K56" s="50">
        <f t="shared" si="22"/>
        <v>1484239.4434073993</v>
      </c>
      <c r="L56" s="50">
        <f t="shared" si="22"/>
        <v>4261.707282673673</v>
      </c>
      <c r="M56" s="50">
        <f t="shared" si="22"/>
        <v>117492.73259599064</v>
      </c>
      <c r="N56" s="50">
        <f t="shared" si="22"/>
        <v>269358.43960718601</v>
      </c>
      <c r="O56" s="50">
        <f t="shared" si="22"/>
        <v>629761.74582632643</v>
      </c>
      <c r="P56" s="50">
        <f t="shared" si="22"/>
        <v>1566204.0254382945</v>
      </c>
      <c r="Q56" s="50">
        <f t="shared" si="22"/>
        <v>75619.470416012686</v>
      </c>
      <c r="R56" s="50">
        <f t="shared" si="22"/>
        <v>7825.6194513457058</v>
      </c>
      <c r="T56" s="97">
        <f t="shared" si="9"/>
        <v>0</v>
      </c>
    </row>
    <row r="57" spans="1:20" x14ac:dyDescent="0.25">
      <c r="A57" s="22"/>
      <c r="B57" s="16"/>
      <c r="C57" s="16"/>
      <c r="E57" s="48"/>
      <c r="F57" s="49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T57" s="97">
        <f t="shared" si="9"/>
        <v>0</v>
      </c>
    </row>
    <row r="58" spans="1:20" x14ac:dyDescent="0.25">
      <c r="A58" s="22"/>
      <c r="B58" s="20" t="s">
        <v>344</v>
      </c>
      <c r="C58" s="16"/>
      <c r="E58" s="48"/>
      <c r="F58" s="49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T58" s="97">
        <f t="shared" si="9"/>
        <v>0</v>
      </c>
    </row>
    <row r="59" spans="1:20" s="56" customFormat="1" x14ac:dyDescent="0.25">
      <c r="A59" s="22">
        <v>581</v>
      </c>
      <c r="B59" s="16" t="s">
        <v>345</v>
      </c>
      <c r="C59" s="16" t="s">
        <v>146</v>
      </c>
      <c r="D59" s="62">
        <v>67</v>
      </c>
      <c r="E59" s="63"/>
      <c r="F59" s="49">
        <v>1756789.5206272467</v>
      </c>
      <c r="G59" s="65">
        <f t="shared" ref="G59:R68" si="23">INDEX(Alloc,($D59),(G$1))*$F59</f>
        <v>1120688.547633511</v>
      </c>
      <c r="H59" s="65">
        <f t="shared" si="23"/>
        <v>249354.72365896709</v>
      </c>
      <c r="I59" s="65">
        <f t="shared" si="23"/>
        <v>158547.87892303432</v>
      </c>
      <c r="J59" s="65">
        <f t="shared" si="23"/>
        <v>59779.441283971464</v>
      </c>
      <c r="K59" s="65">
        <f t="shared" si="23"/>
        <v>91028.186966372086</v>
      </c>
      <c r="L59" s="65">
        <f t="shared" si="23"/>
        <v>725.19551391580228</v>
      </c>
      <c r="M59" s="65">
        <f t="shared" si="23"/>
        <v>25480.730848709562</v>
      </c>
      <c r="N59" s="65">
        <f t="shared" si="23"/>
        <v>17671.096012953385</v>
      </c>
      <c r="O59" s="65">
        <f t="shared" si="23"/>
        <v>9411.9701341393211</v>
      </c>
      <c r="P59" s="65">
        <f t="shared" si="23"/>
        <v>5426.8134540384799</v>
      </c>
      <c r="Q59" s="65">
        <f t="shared" si="23"/>
        <v>18208.167277884768</v>
      </c>
      <c r="R59" s="65">
        <f t="shared" si="23"/>
        <v>466.76891974937342</v>
      </c>
      <c r="T59" s="97">
        <f>F59-SUM(G59:R59)</f>
        <v>0</v>
      </c>
    </row>
    <row r="60" spans="1:20" x14ac:dyDescent="0.25">
      <c r="A60" s="22">
        <v>582</v>
      </c>
      <c r="B60" s="16" t="s">
        <v>346</v>
      </c>
      <c r="C60" s="16" t="s">
        <v>124</v>
      </c>
      <c r="D60" s="19">
        <v>56</v>
      </c>
      <c r="E60" s="48"/>
      <c r="F60" s="49">
        <v>1809514.8395264985</v>
      </c>
      <c r="G60" s="65">
        <f t="shared" si="23"/>
        <v>938393.43115670141</v>
      </c>
      <c r="H60" s="65">
        <f t="shared" si="23"/>
        <v>226879.08664162958</v>
      </c>
      <c r="I60" s="65">
        <f t="shared" si="23"/>
        <v>249292.38908507358</v>
      </c>
      <c r="J60" s="65">
        <f t="shared" si="23"/>
        <v>132646.40464143999</v>
      </c>
      <c r="K60" s="65">
        <f t="shared" si="23"/>
        <v>120607.64718486568</v>
      </c>
      <c r="L60" s="65">
        <f t="shared" si="23"/>
        <v>434.22819154588507</v>
      </c>
      <c r="M60" s="65">
        <f t="shared" si="23"/>
        <v>13561.694341294171</v>
      </c>
      <c r="N60" s="65">
        <f t="shared" si="23"/>
        <v>58221.809320955988</v>
      </c>
      <c r="O60" s="65">
        <f t="shared" si="23"/>
        <v>47286.879057156628</v>
      </c>
      <c r="P60" s="65">
        <f t="shared" si="23"/>
        <v>20372.782163879379</v>
      </c>
      <c r="Q60" s="65">
        <f t="shared" si="23"/>
        <v>1356.197355666792</v>
      </c>
      <c r="R60" s="65">
        <f t="shared" si="23"/>
        <v>462.29038628956783</v>
      </c>
      <c r="T60" s="97">
        <f t="shared" ref="T60:T69" si="24">F60-SUM(G60:R60)</f>
        <v>0</v>
      </c>
    </row>
    <row r="61" spans="1:20" x14ac:dyDescent="0.25">
      <c r="A61" s="22">
        <v>583</v>
      </c>
      <c r="B61" s="16" t="s">
        <v>347</v>
      </c>
      <c r="C61" s="16" t="s">
        <v>126</v>
      </c>
      <c r="D61" s="19">
        <v>57</v>
      </c>
      <c r="E61" s="48"/>
      <c r="F61" s="49">
        <v>2676079.5362708503</v>
      </c>
      <c r="G61" s="65">
        <f t="shared" si="23"/>
        <v>1844232.13549301</v>
      </c>
      <c r="H61" s="65">
        <f t="shared" si="23"/>
        <v>336972.99991922127</v>
      </c>
      <c r="I61" s="65">
        <f t="shared" si="23"/>
        <v>261972.74817450243</v>
      </c>
      <c r="J61" s="65">
        <f t="shared" si="23"/>
        <v>103632.3134482304</v>
      </c>
      <c r="K61" s="65">
        <f t="shared" si="23"/>
        <v>97004.446728915704</v>
      </c>
      <c r="L61" s="65">
        <f t="shared" si="23"/>
        <v>2429.6802572021443</v>
      </c>
      <c r="M61" s="65">
        <f t="shared" si="23"/>
        <v>26140.564360119533</v>
      </c>
      <c r="N61" s="65">
        <f t="shared" si="23"/>
        <v>227.51566421619052</v>
      </c>
      <c r="O61" s="65">
        <f t="shared" si="23"/>
        <v>0</v>
      </c>
      <c r="P61" s="65">
        <f t="shared" si="23"/>
        <v>0</v>
      </c>
      <c r="Q61" s="65">
        <f t="shared" si="23"/>
        <v>1620.6827379346162</v>
      </c>
      <c r="R61" s="65">
        <f t="shared" si="23"/>
        <v>1846.4494874976476</v>
      </c>
      <c r="T61" s="97">
        <f t="shared" si="24"/>
        <v>0</v>
      </c>
    </row>
    <row r="62" spans="1:20" x14ac:dyDescent="0.25">
      <c r="A62" s="22">
        <v>584</v>
      </c>
      <c r="B62" s="16" t="s">
        <v>348</v>
      </c>
      <c r="C62" s="16" t="s">
        <v>128</v>
      </c>
      <c r="D62" s="19">
        <v>58</v>
      </c>
      <c r="E62" s="48"/>
      <c r="F62" s="49">
        <v>4739504.3435808057</v>
      </c>
      <c r="G62" s="65">
        <f t="shared" si="23"/>
        <v>3136767.6051570675</v>
      </c>
      <c r="H62" s="65">
        <f t="shared" si="23"/>
        <v>558933.61255447555</v>
      </c>
      <c r="I62" s="65">
        <f t="shared" si="23"/>
        <v>521585.08799741167</v>
      </c>
      <c r="J62" s="65">
        <f t="shared" si="23"/>
        <v>226457.78652223671</v>
      </c>
      <c r="K62" s="65">
        <f t="shared" si="23"/>
        <v>161527.74636715307</v>
      </c>
      <c r="L62" s="65">
        <f t="shared" si="23"/>
        <v>1918.2719914828592</v>
      </c>
      <c r="M62" s="65">
        <f t="shared" si="23"/>
        <v>50295.70491403612</v>
      </c>
      <c r="N62" s="65">
        <f t="shared" si="23"/>
        <v>63166.979152309737</v>
      </c>
      <c r="O62" s="65">
        <f t="shared" si="23"/>
        <v>15334.243327640608</v>
      </c>
      <c r="P62" s="65">
        <f t="shared" si="23"/>
        <v>92.150065211651153</v>
      </c>
      <c r="Q62" s="65">
        <f t="shared" si="23"/>
        <v>2149.3890988904327</v>
      </c>
      <c r="R62" s="65">
        <f t="shared" si="23"/>
        <v>1275.7664328898049</v>
      </c>
      <c r="T62" s="97">
        <f t="shared" si="24"/>
        <v>0</v>
      </c>
    </row>
    <row r="63" spans="1:20" x14ac:dyDescent="0.25">
      <c r="A63" s="22">
        <v>585</v>
      </c>
      <c r="B63" s="16" t="s">
        <v>349</v>
      </c>
      <c r="C63" s="16" t="s">
        <v>39</v>
      </c>
      <c r="D63" s="19">
        <v>12</v>
      </c>
      <c r="E63" s="48"/>
      <c r="F63" s="49">
        <v>145300.63335813151</v>
      </c>
      <c r="G63" s="65">
        <f t="shared" si="23"/>
        <v>0</v>
      </c>
      <c r="H63" s="65">
        <f t="shared" si="23"/>
        <v>0</v>
      </c>
      <c r="I63" s="65">
        <f t="shared" si="23"/>
        <v>0</v>
      </c>
      <c r="J63" s="65">
        <f t="shared" si="23"/>
        <v>0</v>
      </c>
      <c r="K63" s="65">
        <f t="shared" si="23"/>
        <v>0</v>
      </c>
      <c r="L63" s="65">
        <f t="shared" si="23"/>
        <v>0</v>
      </c>
      <c r="M63" s="65">
        <f t="shared" si="23"/>
        <v>0</v>
      </c>
      <c r="N63" s="65">
        <f t="shared" si="23"/>
        <v>0</v>
      </c>
      <c r="O63" s="65">
        <f t="shared" si="23"/>
        <v>0</v>
      </c>
      <c r="P63" s="65">
        <f t="shared" si="23"/>
        <v>0</v>
      </c>
      <c r="Q63" s="65">
        <f t="shared" si="23"/>
        <v>145300.63335813151</v>
      </c>
      <c r="R63" s="65">
        <f t="shared" si="23"/>
        <v>0</v>
      </c>
      <c r="T63" s="97">
        <f t="shared" si="24"/>
        <v>0</v>
      </c>
    </row>
    <row r="64" spans="1:20" x14ac:dyDescent="0.25">
      <c r="A64" s="22">
        <v>586</v>
      </c>
      <c r="B64" s="16" t="s">
        <v>350</v>
      </c>
      <c r="C64" s="16" t="s">
        <v>134</v>
      </c>
      <c r="D64" s="19">
        <v>19</v>
      </c>
      <c r="E64" s="48"/>
      <c r="F64" s="49">
        <v>1730550.5930792508</v>
      </c>
      <c r="G64" s="65">
        <f t="shared" si="23"/>
        <v>1123518.3804611764</v>
      </c>
      <c r="H64" s="65">
        <f t="shared" si="23"/>
        <v>315355.25486030173</v>
      </c>
      <c r="I64" s="65">
        <f t="shared" si="23"/>
        <v>93198.861507729729</v>
      </c>
      <c r="J64" s="65">
        <f t="shared" si="23"/>
        <v>10474.752615772622</v>
      </c>
      <c r="K64" s="65">
        <f t="shared" si="23"/>
        <v>125464.50330648165</v>
      </c>
      <c r="L64" s="65">
        <f t="shared" si="23"/>
        <v>406.79545126035157</v>
      </c>
      <c r="M64" s="65">
        <f t="shared" si="23"/>
        <v>40547.829936206821</v>
      </c>
      <c r="N64" s="65">
        <f t="shared" si="23"/>
        <v>8200.857536918249</v>
      </c>
      <c r="O64" s="65">
        <f t="shared" si="23"/>
        <v>5092.712994621379</v>
      </c>
      <c r="P64" s="65">
        <f t="shared" si="23"/>
        <v>8199.2240260751933</v>
      </c>
      <c r="Q64" s="65">
        <f t="shared" si="23"/>
        <v>0</v>
      </c>
      <c r="R64" s="65">
        <f t="shared" si="23"/>
        <v>91.420382706517884</v>
      </c>
      <c r="T64" s="97">
        <f t="shared" si="24"/>
        <v>0</v>
      </c>
    </row>
    <row r="65" spans="1:20" x14ac:dyDescent="0.25">
      <c r="A65" s="22">
        <v>587</v>
      </c>
      <c r="B65" s="16" t="s">
        <v>351</v>
      </c>
      <c r="C65" s="16" t="s">
        <v>134</v>
      </c>
      <c r="D65" s="19">
        <v>19</v>
      </c>
      <c r="E65" s="48"/>
      <c r="F65" s="49">
        <v>3412779.0851301313</v>
      </c>
      <c r="G65" s="65">
        <f t="shared" si="23"/>
        <v>2215664.7982042483</v>
      </c>
      <c r="H65" s="65">
        <f t="shared" si="23"/>
        <v>621904.85645271954</v>
      </c>
      <c r="I65" s="65">
        <f t="shared" si="23"/>
        <v>183795.33460825766</v>
      </c>
      <c r="J65" s="65">
        <f t="shared" si="23"/>
        <v>20657.019096686912</v>
      </c>
      <c r="K65" s="65">
        <f t="shared" si="23"/>
        <v>247425.66586782946</v>
      </c>
      <c r="L65" s="65">
        <f t="shared" si="23"/>
        <v>802.23196798721051</v>
      </c>
      <c r="M65" s="65">
        <f t="shared" si="23"/>
        <v>79963.444297501046</v>
      </c>
      <c r="N65" s="65">
        <f t="shared" si="23"/>
        <v>16172.722828245394</v>
      </c>
      <c r="O65" s="65">
        <f t="shared" si="23"/>
        <v>10043.222350228249</v>
      </c>
      <c r="P65" s="65">
        <f t="shared" si="23"/>
        <v>16169.501419022914</v>
      </c>
      <c r="Q65" s="65">
        <f t="shared" si="23"/>
        <v>0</v>
      </c>
      <c r="R65" s="65">
        <f t="shared" si="23"/>
        <v>180.28803740446821</v>
      </c>
      <c r="T65" s="97">
        <f t="shared" si="24"/>
        <v>0</v>
      </c>
    </row>
    <row r="66" spans="1:20" s="56" customFormat="1" x14ac:dyDescent="0.25">
      <c r="A66" s="22">
        <v>589</v>
      </c>
      <c r="B66" s="16" t="s">
        <v>352</v>
      </c>
      <c r="C66" s="16" t="s">
        <v>146</v>
      </c>
      <c r="D66" s="62">
        <v>67</v>
      </c>
      <c r="E66" s="63"/>
      <c r="F66" s="49">
        <v>1318379.920159139</v>
      </c>
      <c r="G66" s="65">
        <f t="shared" si="23"/>
        <v>841018.94996778178</v>
      </c>
      <c r="H66" s="65">
        <f t="shared" si="23"/>
        <v>187127.85840812497</v>
      </c>
      <c r="I66" s="65">
        <f t="shared" si="23"/>
        <v>118982.00524404299</v>
      </c>
      <c r="J66" s="65">
        <f t="shared" si="23"/>
        <v>44861.387264526194</v>
      </c>
      <c r="K66" s="65">
        <f t="shared" si="23"/>
        <v>68311.959091211087</v>
      </c>
      <c r="L66" s="65">
        <f t="shared" si="23"/>
        <v>544.22182766363483</v>
      </c>
      <c r="M66" s="65">
        <f t="shared" si="23"/>
        <v>19121.974207771927</v>
      </c>
      <c r="N66" s="65">
        <f t="shared" si="23"/>
        <v>13261.246083915557</v>
      </c>
      <c r="O66" s="65">
        <f t="shared" si="23"/>
        <v>7063.1981169585024</v>
      </c>
      <c r="P66" s="65">
        <f t="shared" si="23"/>
        <v>4072.5435826252556</v>
      </c>
      <c r="Q66" s="65">
        <f t="shared" si="23"/>
        <v>13664.290366151026</v>
      </c>
      <c r="R66" s="65">
        <f t="shared" si="23"/>
        <v>350.28599836605969</v>
      </c>
      <c r="T66" s="97">
        <f t="shared" si="24"/>
        <v>0</v>
      </c>
    </row>
    <row r="67" spans="1:20" s="62" customFormat="1" x14ac:dyDescent="0.25">
      <c r="A67" s="22">
        <v>580</v>
      </c>
      <c r="B67" s="16" t="s">
        <v>353</v>
      </c>
      <c r="C67" s="16" t="s">
        <v>142</v>
      </c>
      <c r="D67" s="62">
        <v>65</v>
      </c>
      <c r="E67" s="63"/>
      <c r="F67" s="49">
        <v>2736810.1071949545</v>
      </c>
      <c r="G67" s="65">
        <f t="shared" si="23"/>
        <v>1745861.816779247</v>
      </c>
      <c r="H67" s="65">
        <f t="shared" si="23"/>
        <v>388456.62498203415</v>
      </c>
      <c r="I67" s="65">
        <f t="shared" si="23"/>
        <v>246993.41179810566</v>
      </c>
      <c r="J67" s="65">
        <f t="shared" si="23"/>
        <v>93127.251265721716</v>
      </c>
      <c r="K67" s="65">
        <f t="shared" si="23"/>
        <v>141808.03061726515</v>
      </c>
      <c r="L67" s="65">
        <f t="shared" si="23"/>
        <v>1129.743995438098</v>
      </c>
      <c r="M67" s="65">
        <f t="shared" si="23"/>
        <v>39695.092045269019</v>
      </c>
      <c r="N67" s="65">
        <f t="shared" si="23"/>
        <v>27528.872187372734</v>
      </c>
      <c r="O67" s="65">
        <f t="shared" si="23"/>
        <v>14662.413845986852</v>
      </c>
      <c r="P67" s="65">
        <f t="shared" si="23"/>
        <v>8454.1476007730507</v>
      </c>
      <c r="Q67" s="65">
        <f t="shared" si="23"/>
        <v>28365.547297788577</v>
      </c>
      <c r="R67" s="65">
        <f t="shared" si="23"/>
        <v>727.1547799524958</v>
      </c>
      <c r="T67" s="97">
        <f t="shared" si="24"/>
        <v>0</v>
      </c>
    </row>
    <row r="68" spans="1:20" s="62" customFormat="1" x14ac:dyDescent="0.25">
      <c r="A68" s="22">
        <v>588</v>
      </c>
      <c r="B68" s="16" t="s">
        <v>354</v>
      </c>
      <c r="C68" s="16" t="s">
        <v>142</v>
      </c>
      <c r="D68" s="62">
        <v>65</v>
      </c>
      <c r="E68" s="63"/>
      <c r="F68" s="49">
        <v>12333410.01394878</v>
      </c>
      <c r="G68" s="65">
        <f t="shared" si="23"/>
        <v>7867710.4989594109</v>
      </c>
      <c r="H68" s="65">
        <f t="shared" si="23"/>
        <v>1750576.2697758421</v>
      </c>
      <c r="I68" s="65">
        <f t="shared" si="23"/>
        <v>1113073.5780467989</v>
      </c>
      <c r="J68" s="65">
        <f t="shared" si="23"/>
        <v>419677.11618450203</v>
      </c>
      <c r="K68" s="65">
        <f t="shared" si="23"/>
        <v>639056.60837606154</v>
      </c>
      <c r="L68" s="65">
        <f t="shared" si="23"/>
        <v>5091.1811052962448</v>
      </c>
      <c r="M68" s="65">
        <f t="shared" si="23"/>
        <v>178885.57355465251</v>
      </c>
      <c r="N68" s="65">
        <f t="shared" si="23"/>
        <v>124058.61371816146</v>
      </c>
      <c r="O68" s="65">
        <f t="shared" si="23"/>
        <v>66076.035484282009</v>
      </c>
      <c r="P68" s="65">
        <f t="shared" si="23"/>
        <v>38098.539757894825</v>
      </c>
      <c r="Q68" s="65">
        <f t="shared" si="23"/>
        <v>127829.08254173679</v>
      </c>
      <c r="R68" s="65">
        <f t="shared" si="23"/>
        <v>3276.9164441404128</v>
      </c>
      <c r="T68" s="97">
        <f t="shared" si="24"/>
        <v>0</v>
      </c>
    </row>
    <row r="69" spans="1:20" x14ac:dyDescent="0.25">
      <c r="A69" s="25"/>
      <c r="B69" s="24" t="s">
        <v>189</v>
      </c>
      <c r="C69" s="24"/>
      <c r="D69" s="54"/>
      <c r="E69" s="55"/>
      <c r="F69" s="50">
        <f>SUM(F59:F68)</f>
        <v>32659118.59287579</v>
      </c>
      <c r="G69" s="50">
        <f t="shared" ref="G69:R69" si="25">SUM(G59:G68)</f>
        <v>20833856.163812153</v>
      </c>
      <c r="H69" s="50">
        <f t="shared" si="25"/>
        <v>4635561.2872533165</v>
      </c>
      <c r="I69" s="50">
        <f t="shared" si="25"/>
        <v>2947441.2953849565</v>
      </c>
      <c r="J69" s="50">
        <f t="shared" si="25"/>
        <v>1111313.472323088</v>
      </c>
      <c r="K69" s="50">
        <f t="shared" si="25"/>
        <v>1692234.7945061554</v>
      </c>
      <c r="L69" s="50">
        <f t="shared" si="25"/>
        <v>13481.550301792231</v>
      </c>
      <c r="M69" s="50">
        <f t="shared" si="25"/>
        <v>473692.60850556073</v>
      </c>
      <c r="N69" s="50">
        <f t="shared" si="25"/>
        <v>328509.71250504872</v>
      </c>
      <c r="O69" s="50">
        <f t="shared" si="25"/>
        <v>174970.67531101353</v>
      </c>
      <c r="P69" s="50">
        <f t="shared" si="25"/>
        <v>100885.70206952075</v>
      </c>
      <c r="Q69" s="50">
        <f t="shared" si="25"/>
        <v>338493.99003418454</v>
      </c>
      <c r="R69" s="50">
        <f t="shared" si="25"/>
        <v>8677.3408689963489</v>
      </c>
      <c r="T69" s="97">
        <f t="shared" si="24"/>
        <v>0</v>
      </c>
    </row>
    <row r="70" spans="1:20" x14ac:dyDescent="0.25">
      <c r="A70" s="22"/>
      <c r="B70" s="16"/>
      <c r="C70" s="16"/>
      <c r="E70" s="48"/>
      <c r="F70" s="49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1:20" x14ac:dyDescent="0.25">
      <c r="A71" s="22"/>
      <c r="B71" s="20" t="s">
        <v>355</v>
      </c>
      <c r="C71" s="16"/>
      <c r="E71" s="48"/>
      <c r="F71" s="49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1:20" x14ac:dyDescent="0.25">
      <c r="A72" s="22">
        <v>901</v>
      </c>
      <c r="B72" s="16" t="s">
        <v>356</v>
      </c>
      <c r="C72" s="16" t="s">
        <v>140</v>
      </c>
      <c r="D72" s="19">
        <v>64</v>
      </c>
      <c r="E72" s="48"/>
      <c r="F72" s="49">
        <v>134621.92638556895</v>
      </c>
      <c r="G72" s="39">
        <f t="shared" ref="G72:R76" si="26">INDEX(Alloc,($D72),(G$1))*$F72</f>
        <v>117096.12757406004</v>
      </c>
      <c r="H72" s="39">
        <f t="shared" si="26"/>
        <v>12266.034859929381</v>
      </c>
      <c r="I72" s="39">
        <f t="shared" si="26"/>
        <v>1234.1147826003655</v>
      </c>
      <c r="J72" s="39">
        <f t="shared" si="26"/>
        <v>1309.5115746087858</v>
      </c>
      <c r="K72" s="39">
        <f t="shared" si="26"/>
        <v>1415.3972782132569</v>
      </c>
      <c r="L72" s="39">
        <f t="shared" si="26"/>
        <v>0.11948284628148365</v>
      </c>
      <c r="M72" s="39">
        <f t="shared" si="26"/>
        <v>39.614801916760626</v>
      </c>
      <c r="N72" s="39">
        <f t="shared" si="26"/>
        <v>160.74239463472423</v>
      </c>
      <c r="O72" s="39">
        <f t="shared" si="26"/>
        <v>256.40347828506003</v>
      </c>
      <c r="P72" s="39">
        <f t="shared" si="26"/>
        <v>457.82375630055242</v>
      </c>
      <c r="Q72" s="39">
        <f t="shared" si="26"/>
        <v>385.78311716064837</v>
      </c>
      <c r="R72" s="39">
        <f t="shared" si="26"/>
        <v>0.25328501306495393</v>
      </c>
      <c r="T72" s="97">
        <f t="shared" ref="T72:T77" si="27">F72-SUM(G72:R72)</f>
        <v>0</v>
      </c>
    </row>
    <row r="73" spans="1:20" x14ac:dyDescent="0.25">
      <c r="A73" s="22">
        <v>902</v>
      </c>
      <c r="B73" s="16" t="s">
        <v>357</v>
      </c>
      <c r="C73" s="16" t="s">
        <v>23</v>
      </c>
      <c r="D73" s="19">
        <v>4</v>
      </c>
      <c r="E73" s="48"/>
      <c r="F73" s="49">
        <v>11371141.862653149</v>
      </c>
      <c r="G73" s="39">
        <f t="shared" si="26"/>
        <v>9996632.4211208429</v>
      </c>
      <c r="H73" s="39">
        <f t="shared" si="26"/>
        <v>1272599.4674878372</v>
      </c>
      <c r="I73" s="39">
        <f t="shared" si="26"/>
        <v>84726.18167537573</v>
      </c>
      <c r="J73" s="39">
        <f t="shared" si="26"/>
        <v>8562.8039852760412</v>
      </c>
      <c r="K73" s="39">
        <f t="shared" si="26"/>
        <v>5139.6218711169904</v>
      </c>
      <c r="L73" s="39">
        <f t="shared" si="26"/>
        <v>19.394799513649019</v>
      </c>
      <c r="M73" s="39">
        <f t="shared" si="26"/>
        <v>1541.886561335097</v>
      </c>
      <c r="N73" s="39">
        <f t="shared" si="26"/>
        <v>960.04257592562647</v>
      </c>
      <c r="O73" s="39">
        <f t="shared" si="26"/>
        <v>349.10639124568235</v>
      </c>
      <c r="P73" s="39">
        <f t="shared" si="26"/>
        <v>533.35698662534799</v>
      </c>
      <c r="Q73" s="39">
        <f t="shared" si="26"/>
        <v>0</v>
      </c>
      <c r="R73" s="39">
        <f t="shared" si="26"/>
        <v>77.579198054596077</v>
      </c>
      <c r="T73" s="97">
        <f t="shared" si="27"/>
        <v>0</v>
      </c>
    </row>
    <row r="74" spans="1:20" x14ac:dyDescent="0.25">
      <c r="A74" s="22">
        <v>903</v>
      </c>
      <c r="B74" s="16" t="s">
        <v>358</v>
      </c>
      <c r="C74" s="16" t="s">
        <v>21</v>
      </c>
      <c r="D74" s="19">
        <v>3</v>
      </c>
      <c r="E74" s="48"/>
      <c r="F74" s="49">
        <v>23622828.61329595</v>
      </c>
      <c r="G74" s="39">
        <f t="shared" si="26"/>
        <v>20177622.519180335</v>
      </c>
      <c r="H74" s="39">
        <f t="shared" si="26"/>
        <v>2381005.4371652394</v>
      </c>
      <c r="I74" s="39">
        <f t="shared" si="26"/>
        <v>216910.05295143303</v>
      </c>
      <c r="J74" s="39">
        <f t="shared" si="26"/>
        <v>224156.19862806523</v>
      </c>
      <c r="K74" s="39">
        <f t="shared" si="26"/>
        <v>167844.56570614738</v>
      </c>
      <c r="L74" s="39">
        <f t="shared" si="26"/>
        <v>26.715691655154234</v>
      </c>
      <c r="M74" s="39">
        <f t="shared" si="26"/>
        <v>13746.148757419774</v>
      </c>
      <c r="N74" s="39">
        <f t="shared" si="26"/>
        <v>61073.219929349732</v>
      </c>
      <c r="O74" s="39">
        <f t="shared" si="26"/>
        <v>98601.418215949743</v>
      </c>
      <c r="P74" s="39">
        <f t="shared" si="26"/>
        <v>176148.726917133</v>
      </c>
      <c r="Q74" s="39">
        <f t="shared" si="26"/>
        <v>105673.44229617827</v>
      </c>
      <c r="R74" s="39">
        <f t="shared" si="26"/>
        <v>20.167857038212635</v>
      </c>
      <c r="T74" s="97">
        <f t="shared" si="27"/>
        <v>0</v>
      </c>
    </row>
    <row r="75" spans="1:20" x14ac:dyDescent="0.25">
      <c r="A75" s="22">
        <v>904</v>
      </c>
      <c r="B75" s="16" t="s">
        <v>359</v>
      </c>
      <c r="C75" s="16" t="s">
        <v>51</v>
      </c>
      <c r="D75" s="19">
        <v>18</v>
      </c>
      <c r="E75" s="48"/>
      <c r="F75" s="49">
        <v>16958952.817367498</v>
      </c>
      <c r="G75" s="39">
        <f t="shared" si="26"/>
        <v>15015160.314208854</v>
      </c>
      <c r="H75" s="39">
        <f t="shared" si="26"/>
        <v>1080069.5070909716</v>
      </c>
      <c r="I75" s="39">
        <f t="shared" si="26"/>
        <v>174629.9454600178</v>
      </c>
      <c r="J75" s="39">
        <f t="shared" si="26"/>
        <v>272644.09992099757</v>
      </c>
      <c r="K75" s="39">
        <f t="shared" si="26"/>
        <v>373242.03424914565</v>
      </c>
      <c r="L75" s="39">
        <f t="shared" si="26"/>
        <v>0</v>
      </c>
      <c r="M75" s="39">
        <f t="shared" si="26"/>
        <v>0</v>
      </c>
      <c r="N75" s="39">
        <f t="shared" si="26"/>
        <v>0</v>
      </c>
      <c r="O75" s="39">
        <f t="shared" si="26"/>
        <v>0</v>
      </c>
      <c r="P75" s="39">
        <f t="shared" si="26"/>
        <v>0</v>
      </c>
      <c r="Q75" s="39">
        <f t="shared" si="26"/>
        <v>43206.916437510416</v>
      </c>
      <c r="R75" s="39">
        <f t="shared" si="26"/>
        <v>0</v>
      </c>
      <c r="T75" s="97">
        <f t="shared" si="27"/>
        <v>0</v>
      </c>
    </row>
    <row r="76" spans="1:20" x14ac:dyDescent="0.25">
      <c r="A76" s="22">
        <v>905</v>
      </c>
      <c r="B76" s="16" t="s">
        <v>360</v>
      </c>
      <c r="C76" s="16" t="s">
        <v>16</v>
      </c>
      <c r="D76" s="19">
        <v>1</v>
      </c>
      <c r="E76" s="48"/>
      <c r="F76" s="49">
        <v>0</v>
      </c>
      <c r="G76" s="39">
        <f t="shared" si="26"/>
        <v>0</v>
      </c>
      <c r="H76" s="39">
        <f t="shared" si="26"/>
        <v>0</v>
      </c>
      <c r="I76" s="39">
        <f t="shared" si="26"/>
        <v>0</v>
      </c>
      <c r="J76" s="39">
        <f t="shared" si="26"/>
        <v>0</v>
      </c>
      <c r="K76" s="39">
        <f t="shared" si="26"/>
        <v>0</v>
      </c>
      <c r="L76" s="39">
        <f t="shared" si="26"/>
        <v>0</v>
      </c>
      <c r="M76" s="39">
        <f t="shared" si="26"/>
        <v>0</v>
      </c>
      <c r="N76" s="39">
        <f t="shared" si="26"/>
        <v>0</v>
      </c>
      <c r="O76" s="39">
        <f t="shared" si="26"/>
        <v>0</v>
      </c>
      <c r="P76" s="39">
        <f t="shared" si="26"/>
        <v>0</v>
      </c>
      <c r="Q76" s="39">
        <f t="shared" si="26"/>
        <v>0</v>
      </c>
      <c r="R76" s="39">
        <f t="shared" si="26"/>
        <v>0</v>
      </c>
      <c r="T76" s="97">
        <f t="shared" si="27"/>
        <v>0</v>
      </c>
    </row>
    <row r="77" spans="1:20" x14ac:dyDescent="0.25">
      <c r="A77" s="25"/>
      <c r="B77" s="24" t="s">
        <v>189</v>
      </c>
      <c r="C77" s="24"/>
      <c r="D77" s="54"/>
      <c r="E77" s="55"/>
      <c r="F77" s="50">
        <f>SUM(F72:F76)</f>
        <v>52087545.219702169</v>
      </c>
      <c r="G77" s="50">
        <f t="shared" ref="G77:R77" si="28">SUM(G72:G76)</f>
        <v>45306511.382084087</v>
      </c>
      <c r="H77" s="50">
        <f t="shared" si="28"/>
        <v>4745940.4466039781</v>
      </c>
      <c r="I77" s="50">
        <f t="shared" si="28"/>
        <v>477500.29486942687</v>
      </c>
      <c r="J77" s="50">
        <f t="shared" si="28"/>
        <v>506672.61410894763</v>
      </c>
      <c r="K77" s="50">
        <f t="shared" si="28"/>
        <v>547641.61910462333</v>
      </c>
      <c r="L77" s="50">
        <f t="shared" si="28"/>
        <v>46.229974015084736</v>
      </c>
      <c r="M77" s="50">
        <f t="shared" si="28"/>
        <v>15327.650120671631</v>
      </c>
      <c r="N77" s="50">
        <f t="shared" si="28"/>
        <v>62194.004899910084</v>
      </c>
      <c r="O77" s="50">
        <f t="shared" si="28"/>
        <v>99206.928085480482</v>
      </c>
      <c r="P77" s="50">
        <f t="shared" si="28"/>
        <v>177139.9076600589</v>
      </c>
      <c r="Q77" s="50">
        <f t="shared" si="28"/>
        <v>149266.14185084932</v>
      </c>
      <c r="R77" s="50">
        <f t="shared" si="28"/>
        <v>98.000340105873661</v>
      </c>
      <c r="T77" s="97">
        <f t="shared" si="27"/>
        <v>0</v>
      </c>
    </row>
    <row r="78" spans="1:20" x14ac:dyDescent="0.25">
      <c r="A78" s="22"/>
      <c r="B78" s="16"/>
      <c r="C78" s="16"/>
      <c r="E78" s="48"/>
      <c r="F78" s="49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20" x14ac:dyDescent="0.25">
      <c r="A79" s="22"/>
      <c r="B79" s="16" t="s">
        <v>361</v>
      </c>
      <c r="C79" s="16"/>
      <c r="E79" s="48"/>
      <c r="F79" s="49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20" x14ac:dyDescent="0.25">
      <c r="A80" s="22">
        <v>908.01</v>
      </c>
      <c r="B80" s="16" t="s">
        <v>362</v>
      </c>
      <c r="C80" s="16" t="s">
        <v>63</v>
      </c>
      <c r="D80" s="19">
        <v>24</v>
      </c>
      <c r="E80" s="48"/>
      <c r="F80" s="49">
        <v>181452.77413573861</v>
      </c>
      <c r="G80" s="39">
        <f t="shared" ref="G80:R87" si="29">INDEX(Alloc,($D80),(G$1))*$F80</f>
        <v>181452.77413573861</v>
      </c>
      <c r="H80" s="39">
        <f t="shared" si="29"/>
        <v>0</v>
      </c>
      <c r="I80" s="39">
        <f t="shared" si="29"/>
        <v>0</v>
      </c>
      <c r="J80" s="39">
        <f t="shared" si="29"/>
        <v>0</v>
      </c>
      <c r="K80" s="39">
        <f t="shared" si="29"/>
        <v>0</v>
      </c>
      <c r="L80" s="39">
        <f t="shared" si="29"/>
        <v>0</v>
      </c>
      <c r="M80" s="39">
        <f t="shared" si="29"/>
        <v>0</v>
      </c>
      <c r="N80" s="39">
        <f t="shared" si="29"/>
        <v>0</v>
      </c>
      <c r="O80" s="39">
        <f t="shared" si="29"/>
        <v>0</v>
      </c>
      <c r="P80" s="39">
        <f t="shared" si="29"/>
        <v>0</v>
      </c>
      <c r="Q80" s="39">
        <f t="shared" si="29"/>
        <v>0</v>
      </c>
      <c r="R80" s="39">
        <f t="shared" si="29"/>
        <v>0</v>
      </c>
      <c r="T80" s="97">
        <f t="shared" ref="T80:T87" si="30">F80-SUM(G80:R80)</f>
        <v>0</v>
      </c>
    </row>
    <row r="81" spans="1:20" x14ac:dyDescent="0.25">
      <c r="A81" s="22">
        <v>908.02</v>
      </c>
      <c r="B81" s="16" t="s">
        <v>363</v>
      </c>
      <c r="C81" s="16" t="s">
        <v>186</v>
      </c>
      <c r="D81" s="19">
        <v>73</v>
      </c>
      <c r="E81" s="48"/>
      <c r="F81" s="49">
        <v>0</v>
      </c>
      <c r="G81" s="39">
        <f t="shared" si="29"/>
        <v>0</v>
      </c>
      <c r="H81" s="39">
        <f t="shared" si="29"/>
        <v>0</v>
      </c>
      <c r="I81" s="39">
        <f t="shared" si="29"/>
        <v>0</v>
      </c>
      <c r="J81" s="39">
        <f t="shared" si="29"/>
        <v>0</v>
      </c>
      <c r="K81" s="39">
        <f t="shared" si="29"/>
        <v>0</v>
      </c>
      <c r="L81" s="39">
        <f t="shared" si="29"/>
        <v>0</v>
      </c>
      <c r="M81" s="39">
        <f t="shared" si="29"/>
        <v>0</v>
      </c>
      <c r="N81" s="39">
        <f t="shared" si="29"/>
        <v>0</v>
      </c>
      <c r="O81" s="39">
        <f t="shared" si="29"/>
        <v>0</v>
      </c>
      <c r="P81" s="39">
        <f t="shared" si="29"/>
        <v>0</v>
      </c>
      <c r="Q81" s="39">
        <f t="shared" si="29"/>
        <v>0</v>
      </c>
      <c r="R81" s="39">
        <f t="shared" si="29"/>
        <v>0</v>
      </c>
      <c r="T81" s="97">
        <f t="shared" si="30"/>
        <v>0</v>
      </c>
    </row>
    <row r="82" spans="1:20" x14ac:dyDescent="0.25">
      <c r="A82" s="22">
        <v>909</v>
      </c>
      <c r="B82" s="16" t="s">
        <v>364</v>
      </c>
      <c r="C82" s="16" t="s">
        <v>16</v>
      </c>
      <c r="D82" s="19">
        <v>1</v>
      </c>
      <c r="E82" s="48"/>
      <c r="F82" s="49">
        <v>3077574.695869219</v>
      </c>
      <c r="G82" s="39">
        <f t="shared" si="29"/>
        <v>2704935.780114776</v>
      </c>
      <c r="H82" s="39">
        <f t="shared" si="29"/>
        <v>325473.87122381834</v>
      </c>
      <c r="I82" s="39">
        <f t="shared" si="29"/>
        <v>21852.075565973559</v>
      </c>
      <c r="J82" s="39">
        <f t="shared" si="29"/>
        <v>2253.7294985974686</v>
      </c>
      <c r="K82" s="39">
        <f t="shared" si="29"/>
        <v>1303.5228810177759</v>
      </c>
      <c r="L82" s="39">
        <f t="shared" si="29"/>
        <v>5.3532767187588339</v>
      </c>
      <c r="M82" s="39">
        <f t="shared" si="29"/>
        <v>414.87894570380962</v>
      </c>
      <c r="N82" s="39">
        <f t="shared" si="29"/>
        <v>248.92736742228576</v>
      </c>
      <c r="O82" s="39">
        <f t="shared" si="29"/>
        <v>66.915958984485414</v>
      </c>
      <c r="P82" s="39">
        <f t="shared" si="29"/>
        <v>42.826213750070671</v>
      </c>
      <c r="Q82" s="39">
        <f t="shared" si="29"/>
        <v>20955.401715581454</v>
      </c>
      <c r="R82" s="39">
        <f t="shared" si="29"/>
        <v>21.413106875035336</v>
      </c>
      <c r="T82" s="97">
        <f t="shared" si="30"/>
        <v>0</v>
      </c>
    </row>
    <row r="83" spans="1:20" x14ac:dyDescent="0.25">
      <c r="A83" s="22">
        <v>910</v>
      </c>
      <c r="B83" s="16" t="s">
        <v>365</v>
      </c>
      <c r="C83" s="16" t="s">
        <v>16</v>
      </c>
      <c r="D83" s="19">
        <v>1</v>
      </c>
      <c r="E83" s="48"/>
      <c r="F83" s="49">
        <v>892.81</v>
      </c>
      <c r="G83" s="39">
        <f t="shared" si="29"/>
        <v>784.70677481385746</v>
      </c>
      <c r="H83" s="39">
        <f t="shared" si="29"/>
        <v>94.420560240948134</v>
      </c>
      <c r="I83" s="39">
        <f t="shared" si="29"/>
        <v>6.3393267472088404</v>
      </c>
      <c r="J83" s="39">
        <f t="shared" si="29"/>
        <v>0.65381101434956435</v>
      </c>
      <c r="K83" s="39">
        <f t="shared" si="29"/>
        <v>0.37815435152997368</v>
      </c>
      <c r="L83" s="39">
        <f t="shared" si="29"/>
        <v>1.5529952834906517E-3</v>
      </c>
      <c r="M83" s="39">
        <f t="shared" si="29"/>
        <v>0.12035713447052551</v>
      </c>
      <c r="N83" s="39">
        <f t="shared" si="29"/>
        <v>7.2214280682315307E-2</v>
      </c>
      <c r="O83" s="39">
        <f t="shared" si="29"/>
        <v>1.9412441043633145E-2</v>
      </c>
      <c r="P83" s="39">
        <f t="shared" si="29"/>
        <v>1.2423962267925213E-2</v>
      </c>
      <c r="Q83" s="39">
        <f t="shared" si="29"/>
        <v>6.0792000372241555</v>
      </c>
      <c r="R83" s="39">
        <f t="shared" si="29"/>
        <v>6.2119811339626067E-3</v>
      </c>
      <c r="T83" s="97">
        <f t="shared" si="30"/>
        <v>0</v>
      </c>
    </row>
    <row r="84" spans="1:20" x14ac:dyDescent="0.25">
      <c r="A84" s="22">
        <v>911</v>
      </c>
      <c r="B84" s="16" t="s">
        <v>366</v>
      </c>
      <c r="C84" s="16" t="s">
        <v>39</v>
      </c>
      <c r="D84" s="19">
        <v>12</v>
      </c>
      <c r="E84" s="48"/>
      <c r="F84" s="49">
        <v>0</v>
      </c>
      <c r="G84" s="39">
        <f t="shared" si="29"/>
        <v>0</v>
      </c>
      <c r="H84" s="39">
        <f t="shared" si="29"/>
        <v>0</v>
      </c>
      <c r="I84" s="39">
        <f t="shared" si="29"/>
        <v>0</v>
      </c>
      <c r="J84" s="39">
        <f t="shared" si="29"/>
        <v>0</v>
      </c>
      <c r="K84" s="39">
        <f t="shared" si="29"/>
        <v>0</v>
      </c>
      <c r="L84" s="39">
        <f t="shared" si="29"/>
        <v>0</v>
      </c>
      <c r="M84" s="39">
        <f t="shared" si="29"/>
        <v>0</v>
      </c>
      <c r="N84" s="39">
        <f t="shared" si="29"/>
        <v>0</v>
      </c>
      <c r="O84" s="39">
        <f t="shared" si="29"/>
        <v>0</v>
      </c>
      <c r="P84" s="39">
        <f t="shared" si="29"/>
        <v>0</v>
      </c>
      <c r="Q84" s="39">
        <f t="shared" si="29"/>
        <v>0</v>
      </c>
      <c r="R84" s="39">
        <f t="shared" si="29"/>
        <v>0</v>
      </c>
      <c r="T84" s="97">
        <f t="shared" si="30"/>
        <v>0</v>
      </c>
    </row>
    <row r="85" spans="1:20" x14ac:dyDescent="0.25">
      <c r="A85" s="22">
        <v>912</v>
      </c>
      <c r="B85" s="16" t="s">
        <v>367</v>
      </c>
      <c r="C85" s="16" t="s">
        <v>16</v>
      </c>
      <c r="D85" s="19">
        <v>1</v>
      </c>
      <c r="E85" s="48"/>
      <c r="F85" s="49">
        <v>823619.80694727926</v>
      </c>
      <c r="G85" s="39">
        <f t="shared" si="29"/>
        <v>723894.26908570854</v>
      </c>
      <c r="H85" s="39">
        <f t="shared" si="29"/>
        <v>87103.239880269772</v>
      </c>
      <c r="I85" s="39">
        <f t="shared" si="29"/>
        <v>5848.0472572124745</v>
      </c>
      <c r="J85" s="39">
        <f t="shared" si="29"/>
        <v>603.14255151554426</v>
      </c>
      <c r="K85" s="39">
        <f t="shared" si="29"/>
        <v>348.84848288369363</v>
      </c>
      <c r="L85" s="39">
        <f t="shared" si="29"/>
        <v>1.4326426401794401</v>
      </c>
      <c r="M85" s="39">
        <f t="shared" si="29"/>
        <v>111.02980461390661</v>
      </c>
      <c r="N85" s="39">
        <f t="shared" si="29"/>
        <v>66.617882768343961</v>
      </c>
      <c r="O85" s="39">
        <f t="shared" si="29"/>
        <v>17.908033002242998</v>
      </c>
      <c r="P85" s="39">
        <f t="shared" si="29"/>
        <v>11.461141121435521</v>
      </c>
      <c r="Q85" s="39">
        <f t="shared" si="29"/>
        <v>5608.0796149824182</v>
      </c>
      <c r="R85" s="39">
        <f t="shared" si="29"/>
        <v>5.7305705607177604</v>
      </c>
      <c r="T85" s="97">
        <f t="shared" si="30"/>
        <v>0</v>
      </c>
    </row>
    <row r="86" spans="1:20" x14ac:dyDescent="0.25">
      <c r="A86" s="22">
        <v>913</v>
      </c>
      <c r="B86" s="16" t="s">
        <v>368</v>
      </c>
      <c r="C86" s="16" t="s">
        <v>16</v>
      </c>
      <c r="E86" s="48"/>
      <c r="F86" s="49">
        <v>0</v>
      </c>
      <c r="G86" s="39">
        <f t="shared" si="29"/>
        <v>0</v>
      </c>
      <c r="H86" s="39">
        <f t="shared" si="29"/>
        <v>0</v>
      </c>
      <c r="I86" s="39">
        <f t="shared" si="29"/>
        <v>0</v>
      </c>
      <c r="J86" s="39">
        <f t="shared" si="29"/>
        <v>0</v>
      </c>
      <c r="K86" s="39">
        <f t="shared" si="29"/>
        <v>0</v>
      </c>
      <c r="L86" s="39">
        <f t="shared" si="29"/>
        <v>0</v>
      </c>
      <c r="M86" s="39">
        <f t="shared" si="29"/>
        <v>0</v>
      </c>
      <c r="N86" s="39">
        <f t="shared" si="29"/>
        <v>0</v>
      </c>
      <c r="O86" s="39">
        <f t="shared" si="29"/>
        <v>0</v>
      </c>
      <c r="P86" s="39">
        <f t="shared" si="29"/>
        <v>0</v>
      </c>
      <c r="Q86" s="39">
        <f t="shared" si="29"/>
        <v>0</v>
      </c>
      <c r="R86" s="39">
        <f t="shared" si="29"/>
        <v>0</v>
      </c>
      <c r="T86" s="97">
        <f t="shared" si="30"/>
        <v>0</v>
      </c>
    </row>
    <row r="87" spans="1:20" x14ac:dyDescent="0.25">
      <c r="A87" s="22">
        <v>916</v>
      </c>
      <c r="B87" s="16" t="s">
        <v>369</v>
      </c>
      <c r="C87" s="16" t="s">
        <v>16</v>
      </c>
      <c r="E87" s="48"/>
      <c r="F87" s="49">
        <v>0</v>
      </c>
      <c r="G87" s="39">
        <f t="shared" ca="1" si="29"/>
        <v>0</v>
      </c>
      <c r="H87" s="39">
        <f t="shared" ca="1" si="29"/>
        <v>0</v>
      </c>
      <c r="I87" s="39">
        <f t="shared" ca="1" si="29"/>
        <v>0</v>
      </c>
      <c r="J87" s="39">
        <f t="shared" ca="1" si="29"/>
        <v>0</v>
      </c>
      <c r="K87" s="39">
        <f t="shared" ca="1" si="29"/>
        <v>0</v>
      </c>
      <c r="L87" s="39">
        <f t="shared" ca="1" si="29"/>
        <v>0</v>
      </c>
      <c r="M87" s="39">
        <f t="shared" ca="1" si="29"/>
        <v>0</v>
      </c>
      <c r="N87" s="39">
        <f t="shared" ca="1" si="29"/>
        <v>0</v>
      </c>
      <c r="O87" s="39">
        <f t="shared" ca="1" si="29"/>
        <v>0</v>
      </c>
      <c r="P87" s="39">
        <f t="shared" ca="1" si="29"/>
        <v>0</v>
      </c>
      <c r="Q87" s="39">
        <f t="shared" ca="1" si="29"/>
        <v>0</v>
      </c>
      <c r="R87" s="39">
        <f t="shared" ca="1" si="29"/>
        <v>0</v>
      </c>
      <c r="T87" s="97">
        <f t="shared" ca="1" si="30"/>
        <v>0</v>
      </c>
    </row>
    <row r="88" spans="1:20" x14ac:dyDescent="0.25">
      <c r="A88" s="25"/>
      <c r="B88" s="24" t="s">
        <v>189</v>
      </c>
      <c r="C88" s="24"/>
      <c r="D88" s="54"/>
      <c r="E88" s="55"/>
      <c r="F88" s="50">
        <f>SUM(F80:F87)</f>
        <v>4083540.0869522369</v>
      </c>
      <c r="G88" s="50">
        <f t="shared" ref="G88:R88" ca="1" si="31">SUM(G80:G87)</f>
        <v>3611067.5301110372</v>
      </c>
      <c r="H88" s="50">
        <f t="shared" ca="1" si="31"/>
        <v>412671.531664329</v>
      </c>
      <c r="I88" s="50">
        <f t="shared" ca="1" si="31"/>
        <v>27706.462149933242</v>
      </c>
      <c r="J88" s="50">
        <f t="shared" ca="1" si="31"/>
        <v>2857.5258611273625</v>
      </c>
      <c r="K88" s="50">
        <f t="shared" ca="1" si="31"/>
        <v>1652.7495182529995</v>
      </c>
      <c r="L88" s="50">
        <f t="shared" ca="1" si="31"/>
        <v>6.7874723542217641</v>
      </c>
      <c r="M88" s="50">
        <f t="shared" ca="1" si="31"/>
        <v>526.02910745218674</v>
      </c>
      <c r="N88" s="50">
        <f t="shared" ca="1" si="31"/>
        <v>315.61746447131202</v>
      </c>
      <c r="O88" s="50">
        <f t="shared" ca="1" si="31"/>
        <v>84.843404427772043</v>
      </c>
      <c r="P88" s="50">
        <f t="shared" ca="1" si="31"/>
        <v>54.299778833774113</v>
      </c>
      <c r="Q88" s="50">
        <f t="shared" ca="1" si="31"/>
        <v>26569.560530601098</v>
      </c>
      <c r="R88" s="50">
        <f t="shared" ca="1" si="31"/>
        <v>27.149889416887056</v>
      </c>
    </row>
    <row r="89" spans="1:20" x14ac:dyDescent="0.25">
      <c r="A89" s="22"/>
      <c r="B89" s="16"/>
      <c r="C89" s="16"/>
      <c r="E89" s="48"/>
      <c r="F89" s="49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20" x14ac:dyDescent="0.25">
      <c r="A90" s="22"/>
      <c r="B90" s="20" t="s">
        <v>370</v>
      </c>
      <c r="C90" s="16"/>
      <c r="E90" s="48"/>
      <c r="F90" s="49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20" x14ac:dyDescent="0.25">
      <c r="A91" s="22">
        <v>920</v>
      </c>
      <c r="B91" s="16" t="s">
        <v>371</v>
      </c>
      <c r="C91" s="16" t="s">
        <v>136</v>
      </c>
      <c r="D91" s="19">
        <v>62</v>
      </c>
      <c r="E91" s="48"/>
      <c r="F91" s="49">
        <v>49509441.614050545</v>
      </c>
      <c r="G91" s="39">
        <f t="shared" ref="G91:R100" ca="1" si="32">INDEX(Alloc,($D91),(G$1))*$F91</f>
        <v>31220292.851923127</v>
      </c>
      <c r="H91" s="39">
        <f t="shared" ca="1" si="32"/>
        <v>6039085.9974123444</v>
      </c>
      <c r="I91" s="39">
        <f t="shared" ca="1" si="32"/>
        <v>5026920.5149264662</v>
      </c>
      <c r="J91" s="39">
        <f t="shared" ca="1" si="32"/>
        <v>2871945.0419867774</v>
      </c>
      <c r="K91" s="39">
        <f t="shared" ca="1" si="32"/>
        <v>2273395.8594292956</v>
      </c>
      <c r="L91" s="39">
        <f t="shared" ca="1" si="32"/>
        <v>13733.327528843558</v>
      </c>
      <c r="M91" s="39">
        <f t="shared" ca="1" si="32"/>
        <v>301043.77218006109</v>
      </c>
      <c r="N91" s="39">
        <f t="shared" ca="1" si="32"/>
        <v>158581.76534709273</v>
      </c>
      <c r="O91" s="39">
        <f t="shared" ca="1" si="32"/>
        <v>714897.76784717408</v>
      </c>
      <c r="P91" s="39">
        <f t="shared" ca="1" si="32"/>
        <v>334763.93190071435</v>
      </c>
      <c r="Q91" s="39">
        <f t="shared" ca="1" si="32"/>
        <v>539954.56722775509</v>
      </c>
      <c r="R91" s="39">
        <f t="shared" ca="1" si="32"/>
        <v>14826.216340909814</v>
      </c>
      <c r="T91" s="97">
        <f t="shared" ref="T91:T154" ca="1" si="33">F91-SUM(G91:R91)</f>
        <v>0</v>
      </c>
    </row>
    <row r="92" spans="1:20" x14ac:dyDescent="0.25">
      <c r="A92" s="22">
        <v>921</v>
      </c>
      <c r="B92" s="16" t="s">
        <v>372</v>
      </c>
      <c r="C92" s="16" t="s">
        <v>136</v>
      </c>
      <c r="D92" s="19">
        <v>62</v>
      </c>
      <c r="E92" s="48"/>
      <c r="F92" s="49">
        <v>8619180.191495249</v>
      </c>
      <c r="G92" s="39">
        <f t="shared" ca="1" si="32"/>
        <v>5435192.176467794</v>
      </c>
      <c r="H92" s="39">
        <f t="shared" ca="1" si="32"/>
        <v>1051354.4226453304</v>
      </c>
      <c r="I92" s="39">
        <f t="shared" ca="1" si="32"/>
        <v>875144.86760398105</v>
      </c>
      <c r="J92" s="39">
        <f t="shared" ca="1" si="32"/>
        <v>499981.64006621332</v>
      </c>
      <c r="K92" s="39">
        <f t="shared" ca="1" si="32"/>
        <v>395779.22756170592</v>
      </c>
      <c r="L92" s="39">
        <f t="shared" ca="1" si="32"/>
        <v>2390.8575968736423</v>
      </c>
      <c r="M92" s="39">
        <f t="shared" ca="1" si="32"/>
        <v>52409.205867735196</v>
      </c>
      <c r="N92" s="39">
        <f t="shared" ca="1" si="32"/>
        <v>27607.760581652477</v>
      </c>
      <c r="O92" s="39">
        <f t="shared" ca="1" si="32"/>
        <v>124457.72924701766</v>
      </c>
      <c r="P92" s="39">
        <f t="shared" ca="1" si="32"/>
        <v>58279.60398258343</v>
      </c>
      <c r="Q92" s="39">
        <f t="shared" ca="1" si="32"/>
        <v>94001.579465119299</v>
      </c>
      <c r="R92" s="39">
        <f t="shared" ca="1" si="32"/>
        <v>2581.1204092458779</v>
      </c>
      <c r="T92" s="97">
        <f t="shared" ca="1" si="33"/>
        <v>0</v>
      </c>
    </row>
    <row r="93" spans="1:20" x14ac:dyDescent="0.25">
      <c r="A93" s="22">
        <v>922</v>
      </c>
      <c r="B93" s="16" t="s">
        <v>373</v>
      </c>
      <c r="C93" s="16" t="s">
        <v>136</v>
      </c>
      <c r="D93" s="19">
        <v>62</v>
      </c>
      <c r="E93" s="48"/>
      <c r="F93" s="49">
        <v>-21557751.289999999</v>
      </c>
      <c r="G93" s="39">
        <f t="shared" ca="1" si="32"/>
        <v>-13594160.761282314</v>
      </c>
      <c r="H93" s="39">
        <f t="shared" ca="1" si="32"/>
        <v>-2629581.5445874436</v>
      </c>
      <c r="I93" s="39">
        <f t="shared" ca="1" si="32"/>
        <v>-2188857.2902956926</v>
      </c>
      <c r="J93" s="39">
        <f t="shared" ca="1" si="32"/>
        <v>-1250522.6258930182</v>
      </c>
      <c r="K93" s="39">
        <f t="shared" ca="1" si="32"/>
        <v>-989898.10677614156</v>
      </c>
      <c r="L93" s="39">
        <f t="shared" ca="1" si="32"/>
        <v>-5979.8626201209145</v>
      </c>
      <c r="M93" s="39">
        <f t="shared" ca="1" si="32"/>
        <v>-131082.60882141307</v>
      </c>
      <c r="N93" s="39">
        <f t="shared" ca="1" si="32"/>
        <v>-69050.794051201025</v>
      </c>
      <c r="O93" s="39">
        <f t="shared" ca="1" si="32"/>
        <v>-311285.84315626376</v>
      </c>
      <c r="P93" s="39">
        <f t="shared" ca="1" si="32"/>
        <v>-145765.27929836349</v>
      </c>
      <c r="Q93" s="39">
        <f t="shared" ca="1" si="32"/>
        <v>-235110.83722043218</v>
      </c>
      <c r="R93" s="39">
        <f t="shared" ca="1" si="32"/>
        <v>-6455.735997603354</v>
      </c>
      <c r="T93" s="97">
        <f t="shared" ca="1" si="33"/>
        <v>0</v>
      </c>
    </row>
    <row r="94" spans="1:20" x14ac:dyDescent="0.25">
      <c r="A94" s="22">
        <v>923</v>
      </c>
      <c r="B94" s="16" t="s">
        <v>374</v>
      </c>
      <c r="C94" s="16" t="s">
        <v>136</v>
      </c>
      <c r="D94" s="19">
        <v>62</v>
      </c>
      <c r="E94" s="48"/>
      <c r="F94" s="49">
        <v>11082001.521692986</v>
      </c>
      <c r="G94" s="39">
        <f t="shared" ca="1" si="32"/>
        <v>6988229.3480467033</v>
      </c>
      <c r="H94" s="39">
        <f t="shared" ca="1" si="32"/>
        <v>1351765.6033100029</v>
      </c>
      <c r="I94" s="39">
        <f t="shared" ca="1" si="32"/>
        <v>1125206.4046716096</v>
      </c>
      <c r="J94" s="39">
        <f t="shared" ca="1" si="32"/>
        <v>642845.04708459019</v>
      </c>
      <c r="K94" s="39">
        <f t="shared" ca="1" si="32"/>
        <v>508868.1179239176</v>
      </c>
      <c r="L94" s="39">
        <f t="shared" ca="1" si="32"/>
        <v>3074.014806286179</v>
      </c>
      <c r="M94" s="39">
        <f t="shared" ca="1" si="32"/>
        <v>67384.471176278515</v>
      </c>
      <c r="N94" s="39">
        <f t="shared" ca="1" si="32"/>
        <v>35496.327722478272</v>
      </c>
      <c r="O94" s="39">
        <f t="shared" ca="1" si="32"/>
        <v>160019.94554689009</v>
      </c>
      <c r="P94" s="39">
        <f t="shared" ca="1" si="32"/>
        <v>74932.261035212417</v>
      </c>
      <c r="Q94" s="39">
        <f t="shared" ca="1" si="32"/>
        <v>120861.33756687112</v>
      </c>
      <c r="R94" s="39">
        <f t="shared" ca="1" si="32"/>
        <v>3318.6428021495444</v>
      </c>
      <c r="T94" s="97">
        <f t="shared" ca="1" si="33"/>
        <v>0</v>
      </c>
    </row>
    <row r="95" spans="1:20" x14ac:dyDescent="0.25">
      <c r="A95" s="22">
        <v>924</v>
      </c>
      <c r="B95" s="16" t="s">
        <v>375</v>
      </c>
      <c r="C95" s="16" t="s">
        <v>160</v>
      </c>
      <c r="D95" s="19">
        <v>74</v>
      </c>
      <c r="E95" s="48"/>
      <c r="F95" s="49">
        <v>4733023.9572393717</v>
      </c>
      <c r="G95" s="39">
        <f t="shared" si="32"/>
        <v>2744825.9592610602</v>
      </c>
      <c r="H95" s="39">
        <f t="shared" si="32"/>
        <v>590728.80790788028</v>
      </c>
      <c r="I95" s="39">
        <f t="shared" si="32"/>
        <v>578530.39580988826</v>
      </c>
      <c r="J95" s="39">
        <f t="shared" si="32"/>
        <v>327716.89059505676</v>
      </c>
      <c r="K95" s="39">
        <f t="shared" si="32"/>
        <v>242961.67214867962</v>
      </c>
      <c r="L95" s="39">
        <f t="shared" si="32"/>
        <v>1290.7160753658457</v>
      </c>
      <c r="M95" s="39">
        <f t="shared" si="32"/>
        <v>30932.959439699065</v>
      </c>
      <c r="N95" s="39">
        <f t="shared" si="32"/>
        <v>32037.015207818731</v>
      </c>
      <c r="O95" s="39">
        <f t="shared" si="32"/>
        <v>82573.463116655475</v>
      </c>
      <c r="P95" s="39">
        <f t="shared" si="32"/>
        <v>51691.081867573994</v>
      </c>
      <c r="Q95" s="39">
        <f t="shared" si="32"/>
        <v>48218.16328348808</v>
      </c>
      <c r="R95" s="39">
        <f t="shared" si="32"/>
        <v>1516.8325262050801</v>
      </c>
      <c r="T95" s="97">
        <f t="shared" si="33"/>
        <v>0</v>
      </c>
    </row>
    <row r="96" spans="1:20" x14ac:dyDescent="0.25">
      <c r="A96" s="22">
        <v>925</v>
      </c>
      <c r="B96" s="16" t="s">
        <v>376</v>
      </c>
      <c r="C96" s="16" t="s">
        <v>168</v>
      </c>
      <c r="D96" s="19">
        <v>78</v>
      </c>
      <c r="E96" s="48"/>
      <c r="F96" s="49">
        <v>5028611.9969101809</v>
      </c>
      <c r="G96" s="39">
        <f t="shared" si="32"/>
        <v>3069148.7180949817</v>
      </c>
      <c r="H96" s="39">
        <f t="shared" si="32"/>
        <v>607392.06855284271</v>
      </c>
      <c r="I96" s="39">
        <f t="shared" si="32"/>
        <v>548855.69767938484</v>
      </c>
      <c r="J96" s="39">
        <f t="shared" si="32"/>
        <v>312340.06447091722</v>
      </c>
      <c r="K96" s="39">
        <f t="shared" si="32"/>
        <v>233415.20012192219</v>
      </c>
      <c r="L96" s="39">
        <f t="shared" si="32"/>
        <v>1222.6088198696134</v>
      </c>
      <c r="M96" s="39">
        <f t="shared" si="32"/>
        <v>29399.529692846361</v>
      </c>
      <c r="N96" s="39">
        <f t="shared" si="32"/>
        <v>30469.693584583336</v>
      </c>
      <c r="O96" s="39">
        <f t="shared" si="32"/>
        <v>78179.333238028543</v>
      </c>
      <c r="P96" s="39">
        <f t="shared" si="32"/>
        <v>46817.806094101048</v>
      </c>
      <c r="Q96" s="39">
        <f t="shared" si="32"/>
        <v>69941.139597561531</v>
      </c>
      <c r="R96" s="39">
        <f t="shared" si="32"/>
        <v>1430.1369631430446</v>
      </c>
      <c r="T96" s="97">
        <f t="shared" si="33"/>
        <v>0</v>
      </c>
    </row>
    <row r="97" spans="1:20" x14ac:dyDescent="0.25">
      <c r="A97" s="22">
        <v>926</v>
      </c>
      <c r="B97" s="16" t="s">
        <v>377</v>
      </c>
      <c r="C97" s="16" t="s">
        <v>168</v>
      </c>
      <c r="D97" s="19">
        <v>78</v>
      </c>
      <c r="E97" s="48"/>
      <c r="F97" s="49">
        <v>35454127.155340493</v>
      </c>
      <c r="G97" s="39">
        <f t="shared" si="32"/>
        <v>21638970.94801712</v>
      </c>
      <c r="H97" s="39">
        <f t="shared" si="32"/>
        <v>4282405.4917837437</v>
      </c>
      <c r="I97" s="39">
        <f t="shared" si="32"/>
        <v>3869695.9931318401</v>
      </c>
      <c r="J97" s="39">
        <f t="shared" si="32"/>
        <v>2202147.3059093412</v>
      </c>
      <c r="K97" s="39">
        <f t="shared" si="32"/>
        <v>1645689.1464676056</v>
      </c>
      <c r="L97" s="39">
        <f t="shared" si="32"/>
        <v>8619.9787511011436</v>
      </c>
      <c r="M97" s="39">
        <f t="shared" si="32"/>
        <v>207280.78934661165</v>
      </c>
      <c r="N97" s="39">
        <f t="shared" si="32"/>
        <v>214825.95821587613</v>
      </c>
      <c r="O97" s="39">
        <f t="shared" si="32"/>
        <v>551201.8074259687</v>
      </c>
      <c r="P97" s="39">
        <f t="shared" si="32"/>
        <v>330087.99474173906</v>
      </c>
      <c r="Q97" s="39">
        <f t="shared" si="32"/>
        <v>493118.58982260193</v>
      </c>
      <c r="R97" s="39">
        <f t="shared" si="32"/>
        <v>10083.151726953902</v>
      </c>
      <c r="T97" s="97">
        <f t="shared" si="33"/>
        <v>0</v>
      </c>
    </row>
    <row r="98" spans="1:20" s="56" customFormat="1" x14ac:dyDescent="0.25">
      <c r="A98" s="116">
        <v>928</v>
      </c>
      <c r="B98" s="117" t="s">
        <v>378</v>
      </c>
      <c r="C98" s="117" t="s">
        <v>178</v>
      </c>
      <c r="D98" s="56">
        <v>83</v>
      </c>
      <c r="E98" s="118"/>
      <c r="F98" s="119">
        <v>7659023.8861585967</v>
      </c>
      <c r="G98" s="120">
        <f t="shared" si="32"/>
        <v>4110717.3352914718</v>
      </c>
      <c r="H98" s="120">
        <f t="shared" si="32"/>
        <v>1009517.4153417379</v>
      </c>
      <c r="I98" s="120">
        <f t="shared" si="32"/>
        <v>1085722.3352739867</v>
      </c>
      <c r="J98" s="120">
        <f t="shared" si="32"/>
        <v>671579.82005542784</v>
      </c>
      <c r="K98" s="120">
        <f t="shared" si="32"/>
        <v>478450.20459706447</v>
      </c>
      <c r="L98" s="120">
        <f t="shared" si="32"/>
        <v>1708.4655055571238</v>
      </c>
      <c r="M98" s="120">
        <f t="shared" si="32"/>
        <v>43537.635432827781</v>
      </c>
      <c r="N98" s="120">
        <f t="shared" si="32"/>
        <v>6552.4685282178089</v>
      </c>
      <c r="O98" s="120">
        <f t="shared" si="32"/>
        <v>193033.61837833357</v>
      </c>
      <c r="P98" s="120">
        <f t="shared" si="32"/>
        <v>13470.975433954369</v>
      </c>
      <c r="Q98" s="120">
        <f t="shared" si="32"/>
        <v>42063.856141213</v>
      </c>
      <c r="R98" s="120">
        <f t="shared" si="32"/>
        <v>2669.7561788048506</v>
      </c>
      <c r="T98" s="121">
        <f t="shared" si="33"/>
        <v>0</v>
      </c>
    </row>
    <row r="99" spans="1:20" x14ac:dyDescent="0.25">
      <c r="A99" s="22">
        <v>930</v>
      </c>
      <c r="B99" s="16" t="s">
        <v>379</v>
      </c>
      <c r="C99" s="16" t="s">
        <v>136</v>
      </c>
      <c r="D99" s="19">
        <v>62</v>
      </c>
      <c r="E99" s="48"/>
      <c r="F99" s="49">
        <v>5458093.0235263202</v>
      </c>
      <c r="G99" s="39">
        <f t="shared" ca="1" si="32"/>
        <v>3441833.6594442753</v>
      </c>
      <c r="H99" s="39">
        <f t="shared" ca="1" si="32"/>
        <v>665769.84260709933</v>
      </c>
      <c r="I99" s="39">
        <f t="shared" ca="1" si="32"/>
        <v>554185.19978934433</v>
      </c>
      <c r="J99" s="39">
        <f t="shared" ca="1" si="32"/>
        <v>316613.2092503836</v>
      </c>
      <c r="K99" s="39">
        <f t="shared" ca="1" si="32"/>
        <v>250627.06577856484</v>
      </c>
      <c r="L99" s="39">
        <f t="shared" ca="1" si="32"/>
        <v>1514.0097874525477</v>
      </c>
      <c r="M99" s="39">
        <f t="shared" ca="1" si="32"/>
        <v>33188.112391187366</v>
      </c>
      <c r="N99" s="39">
        <f t="shared" ca="1" si="32"/>
        <v>17482.605314898457</v>
      </c>
      <c r="O99" s="39">
        <f t="shared" ca="1" si="32"/>
        <v>78812.816141998992</v>
      </c>
      <c r="P99" s="39">
        <f t="shared" ca="1" si="32"/>
        <v>36905.540068078379</v>
      </c>
      <c r="Q99" s="39">
        <f t="shared" ca="1" si="32"/>
        <v>59526.469302182646</v>
      </c>
      <c r="R99" s="39">
        <f t="shared" ca="1" si="32"/>
        <v>1634.4936508564106</v>
      </c>
      <c r="T99" s="97">
        <f t="shared" ca="1" si="33"/>
        <v>0</v>
      </c>
    </row>
    <row r="100" spans="1:20" x14ac:dyDescent="0.25">
      <c r="A100" s="22">
        <v>931</v>
      </c>
      <c r="B100" s="16" t="s">
        <v>380</v>
      </c>
      <c r="C100" s="16" t="s">
        <v>136</v>
      </c>
      <c r="D100" s="19">
        <v>62</v>
      </c>
      <c r="E100" s="48"/>
      <c r="F100" s="49">
        <v>5083694.1010779496</v>
      </c>
      <c r="G100" s="39">
        <f t="shared" ca="1" si="32"/>
        <v>3205740.4291185802</v>
      </c>
      <c r="H100" s="39">
        <f t="shared" ca="1" si="32"/>
        <v>620101.23443272326</v>
      </c>
      <c r="I100" s="39">
        <f t="shared" ca="1" si="32"/>
        <v>516170.76127691416</v>
      </c>
      <c r="J100" s="39">
        <f t="shared" ca="1" si="32"/>
        <v>294895.06632659753</v>
      </c>
      <c r="K100" s="39">
        <f t="shared" ca="1" si="32"/>
        <v>233435.25483664218</v>
      </c>
      <c r="L100" s="39">
        <f t="shared" ca="1" si="32"/>
        <v>1410.1559999565811</v>
      </c>
      <c r="M100" s="39">
        <f t="shared" ca="1" si="32"/>
        <v>30911.567549647061</v>
      </c>
      <c r="N100" s="39">
        <f t="shared" ca="1" si="32"/>
        <v>16283.382699366834</v>
      </c>
      <c r="O100" s="39">
        <f t="shared" ca="1" si="32"/>
        <v>73406.636124271477</v>
      </c>
      <c r="P100" s="39">
        <f t="shared" ca="1" si="32"/>
        <v>34373.997572502391</v>
      </c>
      <c r="Q100" s="39">
        <f t="shared" ca="1" si="32"/>
        <v>55443.239890769197</v>
      </c>
      <c r="R100" s="39">
        <f t="shared" ca="1" si="32"/>
        <v>1522.3752499805719</v>
      </c>
      <c r="T100" s="97">
        <f t="shared" ca="1" si="33"/>
        <v>0</v>
      </c>
    </row>
    <row r="101" spans="1:20" x14ac:dyDescent="0.25">
      <c r="A101" s="25"/>
      <c r="B101" s="24" t="s">
        <v>189</v>
      </c>
      <c r="C101" s="24"/>
      <c r="D101" s="54"/>
      <c r="E101" s="55"/>
      <c r="F101" s="50">
        <f>SUM(F91:F100)</f>
        <v>111069446.1574917</v>
      </c>
      <c r="G101" s="50">
        <f t="shared" ref="G101:R101" ca="1" si="34">SUM(G91:G100)</f>
        <v>68260790.6643828</v>
      </c>
      <c r="H101" s="50">
        <f t="shared" ca="1" si="34"/>
        <v>13588539.339406263</v>
      </c>
      <c r="I101" s="50">
        <f t="shared" ca="1" si="34"/>
        <v>11991574.879867723</v>
      </c>
      <c r="J101" s="50">
        <f t="shared" ca="1" si="34"/>
        <v>6889541.4598522875</v>
      </c>
      <c r="K101" s="50">
        <f t="shared" ca="1" si="34"/>
        <v>5272723.6420892561</v>
      </c>
      <c r="L101" s="50">
        <f t="shared" ca="1" si="34"/>
        <v>28984.272251185321</v>
      </c>
      <c r="M101" s="50">
        <f t="shared" ca="1" si="34"/>
        <v>665005.434255481</v>
      </c>
      <c r="N101" s="50">
        <f t="shared" ca="1" si="34"/>
        <v>470286.18315078382</v>
      </c>
      <c r="O101" s="50">
        <f t="shared" ca="1" si="34"/>
        <v>1745297.273910075</v>
      </c>
      <c r="P101" s="50">
        <f t="shared" ca="1" si="34"/>
        <v>835557.91339809611</v>
      </c>
      <c r="Q101" s="50">
        <f t="shared" ca="1" si="34"/>
        <v>1288018.1050771298</v>
      </c>
      <c r="R101" s="50">
        <f t="shared" ca="1" si="34"/>
        <v>33126.989850645739</v>
      </c>
      <c r="T101" s="97">
        <f t="shared" ca="1" si="33"/>
        <v>0</v>
      </c>
    </row>
    <row r="102" spans="1:20" x14ac:dyDescent="0.25">
      <c r="A102" s="22"/>
      <c r="B102" s="16"/>
      <c r="C102" s="16"/>
      <c r="E102" s="48"/>
      <c r="F102" s="49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97">
        <f t="shared" si="33"/>
        <v>0</v>
      </c>
    </row>
    <row r="103" spans="1:20" x14ac:dyDescent="0.25">
      <c r="A103" s="25"/>
      <c r="B103" s="24" t="s">
        <v>325</v>
      </c>
      <c r="C103" s="24"/>
      <c r="D103" s="54"/>
      <c r="E103" s="55"/>
      <c r="F103" s="50">
        <f>SUM(F21,F30,F36,F41,F56,F69,F77,F88,F101)</f>
        <v>1073570183.8110689</v>
      </c>
      <c r="G103" s="50">
        <f t="shared" ref="G103:R103" ca="1" si="35">SUM(G21,G30,G36,G41,G56,G69,G77,G88,G101)</f>
        <v>597556800.81811452</v>
      </c>
      <c r="H103" s="50">
        <f t="shared" ca="1" si="35"/>
        <v>138845225.6015583</v>
      </c>
      <c r="I103" s="50">
        <f t="shared" ca="1" si="35"/>
        <v>143314874.21466765</v>
      </c>
      <c r="J103" s="50">
        <f t="shared" ca="1" si="35"/>
        <v>89395784.350254878</v>
      </c>
      <c r="K103" s="50">
        <f t="shared" ca="1" si="35"/>
        <v>63866312.195432618</v>
      </c>
      <c r="L103" s="50">
        <f t="shared" ca="1" si="35"/>
        <v>204625.54873498916</v>
      </c>
      <c r="M103" s="50">
        <f t="shared" ca="1" si="35"/>
        <v>5623837.673924298</v>
      </c>
      <c r="N103" s="50">
        <f t="shared" ca="1" si="35"/>
        <v>1130663.9576273998</v>
      </c>
      <c r="O103" s="50">
        <f t="shared" ca="1" si="35"/>
        <v>25938727.442887239</v>
      </c>
      <c r="P103" s="50">
        <f t="shared" ca="1" si="35"/>
        <v>2679841.8483448038</v>
      </c>
      <c r="Q103" s="50">
        <f t="shared" ca="1" si="35"/>
        <v>4674627.1111291554</v>
      </c>
      <c r="R103" s="50">
        <f t="shared" ca="1" si="35"/>
        <v>338863.04839337477</v>
      </c>
      <c r="T103" s="97">
        <f t="shared" ca="1" si="33"/>
        <v>0</v>
      </c>
    </row>
    <row r="104" spans="1:20" x14ac:dyDescent="0.25">
      <c r="A104" s="22"/>
      <c r="B104" s="16"/>
      <c r="C104" s="16"/>
      <c r="E104" s="48"/>
      <c r="F104" s="49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97">
        <f t="shared" si="33"/>
        <v>0</v>
      </c>
    </row>
    <row r="105" spans="1:20" x14ac:dyDescent="0.25">
      <c r="A105" s="22"/>
      <c r="B105" s="20" t="s">
        <v>381</v>
      </c>
      <c r="C105" s="16"/>
      <c r="E105" s="48"/>
      <c r="F105" s="49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97">
        <f t="shared" si="33"/>
        <v>0</v>
      </c>
    </row>
    <row r="106" spans="1:20" x14ac:dyDescent="0.25">
      <c r="A106" s="22">
        <v>591</v>
      </c>
      <c r="B106" s="16" t="s">
        <v>382</v>
      </c>
      <c r="C106" s="16" t="s">
        <v>123</v>
      </c>
      <c r="D106" s="19">
        <v>55</v>
      </c>
      <c r="E106" s="48"/>
      <c r="F106" s="49">
        <v>-4.9500000000000401</v>
      </c>
      <c r="G106" s="39">
        <f t="shared" ref="G106:R113" si="36">INDEX(Alloc,($D106),(G$1))*$F106</f>
        <v>-2.3170248352909937</v>
      </c>
      <c r="H106" s="39">
        <f t="shared" si="36"/>
        <v>-0.63784048762427215</v>
      </c>
      <c r="I106" s="39">
        <f t="shared" si="36"/>
        <v>-0.79218455723725789</v>
      </c>
      <c r="J106" s="39">
        <f t="shared" si="36"/>
        <v>-0.46072244973031046</v>
      </c>
      <c r="K106" s="39">
        <f t="shared" si="36"/>
        <v>-0.30246432014979041</v>
      </c>
      <c r="L106" s="39">
        <f t="shared" si="36"/>
        <v>-6.5776992984363989E-7</v>
      </c>
      <c r="M106" s="39">
        <f t="shared" si="36"/>
        <v>-3.7186036328815411E-2</v>
      </c>
      <c r="N106" s="39">
        <f t="shared" si="36"/>
        <v>-0.21934799521229179</v>
      </c>
      <c r="O106" s="39">
        <f t="shared" si="36"/>
        <v>-8.1998327530696677E-2</v>
      </c>
      <c r="P106" s="39">
        <f t="shared" si="36"/>
        <v>-9.7191625756441205E-2</v>
      </c>
      <c r="Q106" s="39">
        <f t="shared" si="36"/>
        <v>-3.5207135494880822E-3</v>
      </c>
      <c r="R106" s="39">
        <f t="shared" si="36"/>
        <v>-5.1799381975186634E-4</v>
      </c>
      <c r="T106" s="97">
        <f t="shared" si="33"/>
        <v>0</v>
      </c>
    </row>
    <row r="107" spans="1:20" x14ac:dyDescent="0.25">
      <c r="A107" s="22">
        <v>592</v>
      </c>
      <c r="B107" s="16" t="s">
        <v>383</v>
      </c>
      <c r="C107" s="16" t="s">
        <v>124</v>
      </c>
      <c r="D107" s="19">
        <v>56</v>
      </c>
      <c r="E107" s="48"/>
      <c r="F107" s="49">
        <v>1517580.5299129421</v>
      </c>
      <c r="G107" s="39">
        <f t="shared" si="36"/>
        <v>786999.68047471577</v>
      </c>
      <c r="H107" s="39">
        <f t="shared" si="36"/>
        <v>190276.02151185702</v>
      </c>
      <c r="I107" s="39">
        <f t="shared" si="36"/>
        <v>209073.32046527226</v>
      </c>
      <c r="J107" s="39">
        <f t="shared" si="36"/>
        <v>111246.17308995282</v>
      </c>
      <c r="K107" s="39">
        <f t="shared" si="36"/>
        <v>101149.66350552623</v>
      </c>
      <c r="L107" s="39">
        <f t="shared" si="36"/>
        <v>364.17289023270968</v>
      </c>
      <c r="M107" s="39">
        <f t="shared" si="36"/>
        <v>11373.746617277835</v>
      </c>
      <c r="N107" s="39">
        <f t="shared" si="36"/>
        <v>48828.714919468213</v>
      </c>
      <c r="O107" s="39">
        <f t="shared" si="36"/>
        <v>39657.948865601487</v>
      </c>
      <c r="P107" s="39">
        <f t="shared" si="36"/>
        <v>17085.981765228986</v>
      </c>
      <c r="Q107" s="39">
        <f t="shared" si="36"/>
        <v>1137.3980786020527</v>
      </c>
      <c r="R107" s="39">
        <f t="shared" si="36"/>
        <v>387.70772920688574</v>
      </c>
      <c r="T107" s="97">
        <f t="shared" si="33"/>
        <v>0</v>
      </c>
    </row>
    <row r="108" spans="1:20" x14ac:dyDescent="0.25">
      <c r="A108" s="22">
        <v>593</v>
      </c>
      <c r="B108" s="16" t="s">
        <v>347</v>
      </c>
      <c r="C108" s="16" t="s">
        <v>126</v>
      </c>
      <c r="D108" s="19">
        <v>57</v>
      </c>
      <c r="E108" s="48"/>
      <c r="F108" s="49">
        <v>35807045.891251087</v>
      </c>
      <c r="G108" s="39">
        <f t="shared" si="36"/>
        <v>24676585.211566951</v>
      </c>
      <c r="H108" s="39">
        <f t="shared" si="36"/>
        <v>4508837.4649111638</v>
      </c>
      <c r="I108" s="39">
        <f t="shared" si="36"/>
        <v>3505303.2202523295</v>
      </c>
      <c r="J108" s="39">
        <f t="shared" si="36"/>
        <v>1386643.0175794782</v>
      </c>
      <c r="K108" s="39">
        <f t="shared" si="36"/>
        <v>1297959.432296243</v>
      </c>
      <c r="L108" s="39">
        <f t="shared" si="36"/>
        <v>32510.12209896386</v>
      </c>
      <c r="M108" s="39">
        <f t="shared" si="36"/>
        <v>349771.5127594276</v>
      </c>
      <c r="N108" s="39">
        <f t="shared" si="36"/>
        <v>3044.2532515009184</v>
      </c>
      <c r="O108" s="39">
        <f t="shared" si="36"/>
        <v>0</v>
      </c>
      <c r="P108" s="39">
        <f t="shared" si="36"/>
        <v>0</v>
      </c>
      <c r="Q108" s="39">
        <f t="shared" si="36"/>
        <v>21685.402240791158</v>
      </c>
      <c r="R108" s="39">
        <f t="shared" si="36"/>
        <v>24706.254294234706</v>
      </c>
      <c r="T108" s="97">
        <f t="shared" si="33"/>
        <v>0</v>
      </c>
    </row>
    <row r="109" spans="1:20" x14ac:dyDescent="0.25">
      <c r="A109" s="22">
        <v>594</v>
      </c>
      <c r="B109" s="16" t="s">
        <v>348</v>
      </c>
      <c r="C109" s="16" t="s">
        <v>128</v>
      </c>
      <c r="D109" s="19">
        <v>58</v>
      </c>
      <c r="E109" s="48"/>
      <c r="F109" s="49">
        <v>12335802.999784056</v>
      </c>
      <c r="G109" s="39">
        <f t="shared" si="36"/>
        <v>8164260.3167417655</v>
      </c>
      <c r="H109" s="39">
        <f t="shared" si="36"/>
        <v>1454771.3082630883</v>
      </c>
      <c r="I109" s="39">
        <f t="shared" si="36"/>
        <v>1357561.9783692267</v>
      </c>
      <c r="J109" s="39">
        <f t="shared" si="36"/>
        <v>589415.77848515729</v>
      </c>
      <c r="K109" s="39">
        <f t="shared" si="36"/>
        <v>420418.32093329163</v>
      </c>
      <c r="L109" s="39">
        <f t="shared" si="36"/>
        <v>4992.805928954529</v>
      </c>
      <c r="M109" s="39">
        <f t="shared" si="36"/>
        <v>130907.76219988969</v>
      </c>
      <c r="N109" s="39">
        <f t="shared" si="36"/>
        <v>164408.62892545509</v>
      </c>
      <c r="O109" s="39">
        <f t="shared" si="36"/>
        <v>39911.38969979564</v>
      </c>
      <c r="P109" s="39">
        <f t="shared" si="36"/>
        <v>239.84471127403702</v>
      </c>
      <c r="Q109" s="39">
        <f t="shared" si="36"/>
        <v>5594.3488119610984</v>
      </c>
      <c r="R109" s="39">
        <f t="shared" si="36"/>
        <v>3320.5167141962643</v>
      </c>
      <c r="T109" s="97">
        <f t="shared" si="33"/>
        <v>0</v>
      </c>
    </row>
    <row r="110" spans="1:20" x14ac:dyDescent="0.25">
      <c r="A110" s="22">
        <v>595</v>
      </c>
      <c r="B110" s="16" t="s">
        <v>384</v>
      </c>
      <c r="C110" s="16" t="s">
        <v>130</v>
      </c>
      <c r="D110" s="19">
        <v>59</v>
      </c>
      <c r="E110" s="48"/>
      <c r="F110" s="49">
        <v>174095.19128056592</v>
      </c>
      <c r="G110" s="39">
        <f t="shared" si="36"/>
        <v>133811.12333256874</v>
      </c>
      <c r="H110" s="39">
        <f t="shared" si="36"/>
        <v>21101.428452788619</v>
      </c>
      <c r="I110" s="39">
        <f t="shared" si="36"/>
        <v>7612.5851484937657</v>
      </c>
      <c r="J110" s="39">
        <f t="shared" si="36"/>
        <v>1816.8313499204373</v>
      </c>
      <c r="K110" s="39">
        <f t="shared" si="36"/>
        <v>873.95922458193309</v>
      </c>
      <c r="L110" s="39">
        <f t="shared" si="36"/>
        <v>0</v>
      </c>
      <c r="M110" s="39">
        <f t="shared" si="36"/>
        <v>50.087887975107023</v>
      </c>
      <c r="N110" s="39">
        <f t="shared" si="36"/>
        <v>1696.3875406277702</v>
      </c>
      <c r="O110" s="39">
        <f t="shared" si="36"/>
        <v>0</v>
      </c>
      <c r="P110" s="39">
        <f t="shared" si="36"/>
        <v>0</v>
      </c>
      <c r="Q110" s="39">
        <f t="shared" si="36"/>
        <v>7112.2259756132007</v>
      </c>
      <c r="R110" s="39">
        <f t="shared" si="36"/>
        <v>20.562367996360308</v>
      </c>
      <c r="T110" s="97">
        <f t="shared" si="33"/>
        <v>0</v>
      </c>
    </row>
    <row r="111" spans="1:20" x14ac:dyDescent="0.25">
      <c r="A111" s="22">
        <v>596</v>
      </c>
      <c r="B111" s="16" t="s">
        <v>349</v>
      </c>
      <c r="C111" s="16" t="s">
        <v>39</v>
      </c>
      <c r="D111" s="19">
        <v>12</v>
      </c>
      <c r="E111" s="48"/>
      <c r="F111" s="49">
        <v>2000850.553615283</v>
      </c>
      <c r="G111" s="39">
        <f t="shared" si="36"/>
        <v>0</v>
      </c>
      <c r="H111" s="39">
        <f t="shared" si="36"/>
        <v>0</v>
      </c>
      <c r="I111" s="39">
        <f t="shared" si="36"/>
        <v>0</v>
      </c>
      <c r="J111" s="39">
        <f t="shared" si="36"/>
        <v>0</v>
      </c>
      <c r="K111" s="39">
        <f t="shared" si="36"/>
        <v>0</v>
      </c>
      <c r="L111" s="39">
        <f t="shared" si="36"/>
        <v>0</v>
      </c>
      <c r="M111" s="39">
        <f t="shared" si="36"/>
        <v>0</v>
      </c>
      <c r="N111" s="39">
        <f t="shared" si="36"/>
        <v>0</v>
      </c>
      <c r="O111" s="39">
        <f t="shared" si="36"/>
        <v>0</v>
      </c>
      <c r="P111" s="39">
        <f t="shared" si="36"/>
        <v>0</v>
      </c>
      <c r="Q111" s="39">
        <f t="shared" si="36"/>
        <v>2000850.553615283</v>
      </c>
      <c r="R111" s="39">
        <f t="shared" si="36"/>
        <v>0</v>
      </c>
      <c r="T111" s="97">
        <f t="shared" si="33"/>
        <v>0</v>
      </c>
    </row>
    <row r="112" spans="1:20" x14ac:dyDescent="0.25">
      <c r="A112" s="22">
        <v>597</v>
      </c>
      <c r="B112" s="16" t="s">
        <v>385</v>
      </c>
      <c r="C112" s="16" t="s">
        <v>134</v>
      </c>
      <c r="D112" s="19">
        <v>19</v>
      </c>
      <c r="E112" s="48"/>
      <c r="F112" s="49">
        <v>532950.46671577066</v>
      </c>
      <c r="G112" s="39">
        <f t="shared" si="36"/>
        <v>346005.28157058597</v>
      </c>
      <c r="H112" s="39">
        <f t="shared" si="36"/>
        <v>97118.645898711315</v>
      </c>
      <c r="I112" s="39">
        <f t="shared" si="36"/>
        <v>28702.065652725109</v>
      </c>
      <c r="J112" s="39">
        <f t="shared" si="36"/>
        <v>3225.865986024141</v>
      </c>
      <c r="K112" s="39">
        <f t="shared" si="36"/>
        <v>38638.781125996007</v>
      </c>
      <c r="L112" s="39">
        <f t="shared" si="36"/>
        <v>125.27910277462107</v>
      </c>
      <c r="M112" s="39">
        <f t="shared" si="36"/>
        <v>12487.346498412075</v>
      </c>
      <c r="N112" s="39">
        <f t="shared" si="36"/>
        <v>2525.5839784453915</v>
      </c>
      <c r="O112" s="39">
        <f t="shared" si="36"/>
        <v>1568.3816342540404</v>
      </c>
      <c r="P112" s="39">
        <f t="shared" si="36"/>
        <v>2525.0809129067861</v>
      </c>
      <c r="Q112" s="39">
        <f t="shared" si="36"/>
        <v>0</v>
      </c>
      <c r="R112" s="39">
        <f t="shared" si="36"/>
        <v>28.15435493514163</v>
      </c>
      <c r="T112" s="97">
        <f t="shared" si="33"/>
        <v>0</v>
      </c>
    </row>
    <row r="113" spans="1:20" s="62" customFormat="1" x14ac:dyDescent="0.25">
      <c r="A113" s="22">
        <v>590</v>
      </c>
      <c r="B113" s="16" t="s">
        <v>386</v>
      </c>
      <c r="C113" s="16" t="s">
        <v>144</v>
      </c>
      <c r="D113" s="62">
        <v>66</v>
      </c>
      <c r="E113" s="63"/>
      <c r="F113" s="49">
        <v>541367.62414587464</v>
      </c>
      <c r="G113" s="65">
        <f t="shared" si="36"/>
        <v>352594.51206271112</v>
      </c>
      <c r="H113" s="65">
        <f t="shared" si="36"/>
        <v>64839.088246136678</v>
      </c>
      <c r="I113" s="65">
        <f t="shared" si="36"/>
        <v>52807.545042700454</v>
      </c>
      <c r="J113" s="65">
        <f t="shared" si="36"/>
        <v>21630.043142707858</v>
      </c>
      <c r="K113" s="65">
        <f t="shared" si="36"/>
        <v>19218.183362981246</v>
      </c>
      <c r="L113" s="65">
        <f t="shared" si="36"/>
        <v>392.75356244274974</v>
      </c>
      <c r="M113" s="65">
        <f t="shared" si="36"/>
        <v>5216.300859367082</v>
      </c>
      <c r="N113" s="65">
        <f t="shared" si="36"/>
        <v>2279.4959386373966</v>
      </c>
      <c r="O113" s="65">
        <f t="shared" si="36"/>
        <v>838.77599757531721</v>
      </c>
      <c r="P113" s="65">
        <f t="shared" si="36"/>
        <v>205.21158238560824</v>
      </c>
      <c r="Q113" s="65">
        <f t="shared" si="36"/>
        <v>21051.470576024287</v>
      </c>
      <c r="R113" s="65">
        <f t="shared" si="36"/>
        <v>294.2437722047232</v>
      </c>
      <c r="T113" s="97">
        <f t="shared" si="33"/>
        <v>0</v>
      </c>
    </row>
    <row r="114" spans="1:20" x14ac:dyDescent="0.25">
      <c r="A114" s="25"/>
      <c r="B114" s="24" t="s">
        <v>189</v>
      </c>
      <c r="C114" s="24"/>
      <c r="D114" s="54"/>
      <c r="E114" s="55"/>
      <c r="F114" s="50">
        <f>SUM(F106:F113)</f>
        <v>52909688.306705572</v>
      </c>
      <c r="G114" s="50">
        <f t="shared" ref="G114:R114" si="37">SUM(G106:G113)</f>
        <v>34460253.808724463</v>
      </c>
      <c r="H114" s="50">
        <f t="shared" si="37"/>
        <v>6336943.3194432585</v>
      </c>
      <c r="I114" s="50">
        <f t="shared" si="37"/>
        <v>5161059.9227461899</v>
      </c>
      <c r="J114" s="50">
        <f t="shared" si="37"/>
        <v>2113977.2489107908</v>
      </c>
      <c r="K114" s="50">
        <f t="shared" si="37"/>
        <v>1878258.0379843002</v>
      </c>
      <c r="L114" s="50">
        <f t="shared" si="37"/>
        <v>38385.133582710696</v>
      </c>
      <c r="M114" s="50">
        <f t="shared" si="37"/>
        <v>509806.71963631304</v>
      </c>
      <c r="N114" s="50">
        <f t="shared" si="37"/>
        <v>222782.84520613958</v>
      </c>
      <c r="O114" s="50">
        <f t="shared" si="37"/>
        <v>81976.414198898943</v>
      </c>
      <c r="P114" s="50">
        <f t="shared" si="37"/>
        <v>20056.02178016966</v>
      </c>
      <c r="Q114" s="50">
        <f t="shared" si="37"/>
        <v>2057431.3957775612</v>
      </c>
      <c r="R114" s="50">
        <f t="shared" si="37"/>
        <v>28757.438714780259</v>
      </c>
      <c r="T114" s="97">
        <f t="shared" si="33"/>
        <v>0</v>
      </c>
    </row>
    <row r="115" spans="1:20" x14ac:dyDescent="0.25">
      <c r="A115" s="22"/>
      <c r="B115" s="16"/>
      <c r="C115" s="16"/>
      <c r="E115" s="48"/>
      <c r="F115" s="49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97">
        <f t="shared" si="33"/>
        <v>0</v>
      </c>
    </row>
    <row r="116" spans="1:20" x14ac:dyDescent="0.25">
      <c r="A116" s="22"/>
      <c r="B116" s="20" t="s">
        <v>387</v>
      </c>
      <c r="C116" s="16"/>
      <c r="E116" s="48"/>
      <c r="F116" s="49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97">
        <f t="shared" si="33"/>
        <v>0</v>
      </c>
    </row>
    <row r="117" spans="1:20" x14ac:dyDescent="0.25">
      <c r="A117" s="22">
        <v>935</v>
      </c>
      <c r="B117" s="16" t="s">
        <v>388</v>
      </c>
      <c r="C117" s="16" t="s">
        <v>152</v>
      </c>
      <c r="D117" s="19">
        <v>70</v>
      </c>
      <c r="E117" s="48"/>
      <c r="F117" s="49">
        <v>16720545.192083759</v>
      </c>
      <c r="G117" s="39">
        <f t="shared" ref="G117:R117" si="38">INDEX(Alloc,($D117),(G$1))*$F117</f>
        <v>10179552.997723311</v>
      </c>
      <c r="H117" s="39">
        <f t="shared" si="38"/>
        <v>2023294.6079321099</v>
      </c>
      <c r="I117" s="39">
        <f t="shared" si="38"/>
        <v>1836517.1622617065</v>
      </c>
      <c r="J117" s="39">
        <f t="shared" si="38"/>
        <v>1044662.0661556247</v>
      </c>
      <c r="K117" s="39">
        <f t="shared" si="38"/>
        <v>780391.48038896511</v>
      </c>
      <c r="L117" s="39">
        <f t="shared" si="38"/>
        <v>4093.7894060250042</v>
      </c>
      <c r="M117" s="39">
        <f t="shared" si="38"/>
        <v>98409.950657890251</v>
      </c>
      <c r="N117" s="39">
        <f t="shared" si="38"/>
        <v>101869.63834053199</v>
      </c>
      <c r="O117" s="39">
        <f t="shared" si="38"/>
        <v>261513.9411202429</v>
      </c>
      <c r="P117" s="39">
        <f t="shared" si="38"/>
        <v>156105.89803091186</v>
      </c>
      <c r="Q117" s="39">
        <f t="shared" si="38"/>
        <v>229345.76312693345</v>
      </c>
      <c r="R117" s="39">
        <f t="shared" si="38"/>
        <v>4787.896939508375</v>
      </c>
      <c r="T117" s="97">
        <f t="shared" si="33"/>
        <v>0</v>
      </c>
    </row>
    <row r="118" spans="1:20" x14ac:dyDescent="0.25">
      <c r="A118" s="25"/>
      <c r="B118" s="24" t="s">
        <v>189</v>
      </c>
      <c r="C118" s="24"/>
      <c r="D118" s="54"/>
      <c r="E118" s="55"/>
      <c r="F118" s="50">
        <f>SUM(F117)</f>
        <v>16720545.192083759</v>
      </c>
      <c r="G118" s="50">
        <f t="shared" ref="G118:R118" si="39">SUM(G117)</f>
        <v>10179552.997723311</v>
      </c>
      <c r="H118" s="50">
        <f t="shared" si="39"/>
        <v>2023294.6079321099</v>
      </c>
      <c r="I118" s="50">
        <f t="shared" si="39"/>
        <v>1836517.1622617065</v>
      </c>
      <c r="J118" s="50">
        <f t="shared" si="39"/>
        <v>1044662.0661556247</v>
      </c>
      <c r="K118" s="50">
        <f t="shared" si="39"/>
        <v>780391.48038896511</v>
      </c>
      <c r="L118" s="50">
        <f t="shared" si="39"/>
        <v>4093.7894060250042</v>
      </c>
      <c r="M118" s="50">
        <f t="shared" si="39"/>
        <v>98409.950657890251</v>
      </c>
      <c r="N118" s="50">
        <f t="shared" si="39"/>
        <v>101869.63834053199</v>
      </c>
      <c r="O118" s="50">
        <f t="shared" si="39"/>
        <v>261513.9411202429</v>
      </c>
      <c r="P118" s="50">
        <f t="shared" si="39"/>
        <v>156105.89803091186</v>
      </c>
      <c r="Q118" s="50">
        <f t="shared" si="39"/>
        <v>229345.76312693345</v>
      </c>
      <c r="R118" s="50">
        <f t="shared" si="39"/>
        <v>4787.896939508375</v>
      </c>
      <c r="T118" s="97">
        <f t="shared" si="33"/>
        <v>0</v>
      </c>
    </row>
    <row r="119" spans="1:20" x14ac:dyDescent="0.25">
      <c r="A119" s="22"/>
      <c r="B119" s="16"/>
      <c r="C119" s="16"/>
      <c r="E119" s="48"/>
      <c r="F119" s="49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97">
        <f t="shared" si="33"/>
        <v>0</v>
      </c>
    </row>
    <row r="120" spans="1:20" x14ac:dyDescent="0.25">
      <c r="A120" s="25"/>
      <c r="B120" s="24" t="s">
        <v>389</v>
      </c>
      <c r="C120" s="24"/>
      <c r="D120" s="54"/>
      <c r="E120" s="55"/>
      <c r="F120" s="50">
        <f>F114+F118</f>
        <v>69630233.498789325</v>
      </c>
      <c r="G120" s="50">
        <f t="shared" ref="G120:R120" si="40">G114+G118</f>
        <v>44639806.806447774</v>
      </c>
      <c r="H120" s="50">
        <f t="shared" si="40"/>
        <v>8360237.9273753688</v>
      </c>
      <c r="I120" s="50">
        <f t="shared" si="40"/>
        <v>6997577.0850078966</v>
      </c>
      <c r="J120" s="50">
        <f t="shared" si="40"/>
        <v>3158639.3150664154</v>
      </c>
      <c r="K120" s="50">
        <f t="shared" si="40"/>
        <v>2658649.5183732654</v>
      </c>
      <c r="L120" s="50">
        <f t="shared" si="40"/>
        <v>42478.9229887357</v>
      </c>
      <c r="M120" s="50">
        <f t="shared" si="40"/>
        <v>608216.67029420333</v>
      </c>
      <c r="N120" s="50">
        <f t="shared" si="40"/>
        <v>324652.48354667157</v>
      </c>
      <c r="O120" s="50">
        <f t="shared" si="40"/>
        <v>343490.35531914188</v>
      </c>
      <c r="P120" s="50">
        <f t="shared" si="40"/>
        <v>176161.91981108152</v>
      </c>
      <c r="Q120" s="50">
        <f t="shared" si="40"/>
        <v>2286777.1589044947</v>
      </c>
      <c r="R120" s="50">
        <f t="shared" si="40"/>
        <v>33545.335654288632</v>
      </c>
      <c r="T120" s="97">
        <f t="shared" si="33"/>
        <v>0</v>
      </c>
    </row>
    <row r="121" spans="1:20" x14ac:dyDescent="0.25">
      <c r="A121" s="22"/>
      <c r="B121" s="16"/>
      <c r="C121" s="16"/>
      <c r="E121" s="48"/>
      <c r="F121" s="49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97">
        <f t="shared" si="33"/>
        <v>0</v>
      </c>
    </row>
    <row r="122" spans="1:20" x14ac:dyDescent="0.25">
      <c r="A122" s="25"/>
      <c r="B122" s="24" t="s">
        <v>390</v>
      </c>
      <c r="C122" s="24"/>
      <c r="D122" s="54"/>
      <c r="E122" s="50"/>
      <c r="F122" s="69">
        <f>SUM(F103,F120)</f>
        <v>1143200417.3098583</v>
      </c>
      <c r="G122" s="69">
        <f t="shared" ref="G122:R122" ca="1" si="41">SUM(G103,G120)</f>
        <v>642196607.62456226</v>
      </c>
      <c r="H122" s="69">
        <f t="shared" ca="1" si="41"/>
        <v>147205463.52893367</v>
      </c>
      <c r="I122" s="69">
        <f t="shared" ca="1" si="41"/>
        <v>150312451.29967555</v>
      </c>
      <c r="J122" s="69">
        <f t="shared" ca="1" si="41"/>
        <v>92554423.66532129</v>
      </c>
      <c r="K122" s="69">
        <f t="shared" ca="1" si="41"/>
        <v>66524961.713805884</v>
      </c>
      <c r="L122" s="69">
        <f t="shared" ca="1" si="41"/>
        <v>247104.47172372486</v>
      </c>
      <c r="M122" s="69">
        <f t="shared" ca="1" si="41"/>
        <v>6232054.3442185018</v>
      </c>
      <c r="N122" s="69">
        <f t="shared" ca="1" si="41"/>
        <v>1455316.4411740713</v>
      </c>
      <c r="O122" s="69">
        <f t="shared" ca="1" si="41"/>
        <v>26282217.798206381</v>
      </c>
      <c r="P122" s="69">
        <f t="shared" ca="1" si="41"/>
        <v>2856003.7681558854</v>
      </c>
      <c r="Q122" s="69">
        <f t="shared" ca="1" si="41"/>
        <v>6961404.2700336501</v>
      </c>
      <c r="R122" s="69">
        <f t="shared" ca="1" si="41"/>
        <v>372408.38404766342</v>
      </c>
      <c r="T122" s="97">
        <f t="shared" ca="1" si="33"/>
        <v>0</v>
      </c>
    </row>
    <row r="123" spans="1:20" x14ac:dyDescent="0.25">
      <c r="A123" s="22"/>
      <c r="B123" s="16"/>
      <c r="C123" s="16"/>
      <c r="E123" s="48"/>
      <c r="F123" s="49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97">
        <f t="shared" si="33"/>
        <v>0</v>
      </c>
    </row>
    <row r="124" spans="1:20" x14ac:dyDescent="0.25">
      <c r="A124" s="22"/>
      <c r="B124" s="20" t="s">
        <v>391</v>
      </c>
      <c r="C124" s="16"/>
      <c r="E124" s="48"/>
      <c r="F124" s="49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97">
        <f t="shared" si="33"/>
        <v>0</v>
      </c>
    </row>
    <row r="125" spans="1:20" x14ac:dyDescent="0.25">
      <c r="A125" s="22">
        <v>403.01</v>
      </c>
      <c r="B125" s="16" t="s">
        <v>392</v>
      </c>
      <c r="C125" s="16" t="s">
        <v>158</v>
      </c>
      <c r="D125" s="19">
        <v>73</v>
      </c>
      <c r="E125" s="48"/>
      <c r="F125" s="49">
        <v>42426879.411666438</v>
      </c>
      <c r="G125" s="39">
        <f t="shared" ref="G125:R127" si="42">INDEX(Alloc,($D125),(G$1))*$F125</f>
        <v>22363094.068959527</v>
      </c>
      <c r="H125" s="39">
        <f t="shared" si="42"/>
        <v>5618853.3975953478</v>
      </c>
      <c r="I125" s="39">
        <f t="shared" si="42"/>
        <v>6222694.5970253116</v>
      </c>
      <c r="J125" s="39">
        <f t="shared" si="42"/>
        <v>3936245.7713479167</v>
      </c>
      <c r="K125" s="39">
        <f t="shared" si="42"/>
        <v>2742341.6496862476</v>
      </c>
      <c r="L125" s="39">
        <f t="shared" si="42"/>
        <v>7889.2312852764062</v>
      </c>
      <c r="M125" s="39">
        <f t="shared" si="42"/>
        <v>217506.43287423777</v>
      </c>
      <c r="N125" s="39">
        <f t="shared" si="42"/>
        <v>0</v>
      </c>
      <c r="O125" s="39">
        <f t="shared" si="42"/>
        <v>1164024.8886745316</v>
      </c>
      <c r="P125" s="39">
        <f t="shared" si="42"/>
        <v>0</v>
      </c>
      <c r="Q125" s="39">
        <f t="shared" si="42"/>
        <v>139779.50601105631</v>
      </c>
      <c r="R125" s="39">
        <f t="shared" si="42"/>
        <v>14449.868206988911</v>
      </c>
      <c r="T125" s="97">
        <f t="shared" si="33"/>
        <v>0</v>
      </c>
    </row>
    <row r="126" spans="1:20" x14ac:dyDescent="0.25">
      <c r="A126" s="22">
        <v>403.02</v>
      </c>
      <c r="B126" s="16" t="s">
        <v>393</v>
      </c>
      <c r="C126" s="16" t="s">
        <v>158</v>
      </c>
      <c r="D126" s="19">
        <v>73</v>
      </c>
      <c r="E126" s="48"/>
      <c r="F126" s="49">
        <v>19269085.490000002</v>
      </c>
      <c r="G126" s="39">
        <f t="shared" si="42"/>
        <v>10156683.15490582</v>
      </c>
      <c r="H126" s="39">
        <f t="shared" si="42"/>
        <v>2551923.8740964262</v>
      </c>
      <c r="I126" s="39">
        <f t="shared" si="42"/>
        <v>2826171.4231867474</v>
      </c>
      <c r="J126" s="39">
        <f t="shared" si="42"/>
        <v>1787731.2055361196</v>
      </c>
      <c r="K126" s="39">
        <f t="shared" si="42"/>
        <v>1245493.8101354083</v>
      </c>
      <c r="L126" s="39">
        <f t="shared" si="42"/>
        <v>3583.0651274477677</v>
      </c>
      <c r="M126" s="39">
        <f t="shared" si="42"/>
        <v>98785.25377773041</v>
      </c>
      <c r="N126" s="39">
        <f t="shared" si="42"/>
        <v>0</v>
      </c>
      <c r="O126" s="39">
        <f t="shared" si="42"/>
        <v>528667.09509136376</v>
      </c>
      <c r="P126" s="39">
        <f t="shared" si="42"/>
        <v>0</v>
      </c>
      <c r="Q126" s="39">
        <f t="shared" si="42"/>
        <v>63483.887771778522</v>
      </c>
      <c r="R126" s="39">
        <f t="shared" si="42"/>
        <v>6562.7203711602415</v>
      </c>
      <c r="T126" s="97">
        <f t="shared" si="33"/>
        <v>0</v>
      </c>
    </row>
    <row r="127" spans="1:20" x14ac:dyDescent="0.25">
      <c r="A127" s="22">
        <v>403.03</v>
      </c>
      <c r="B127" s="16" t="s">
        <v>394</v>
      </c>
      <c r="C127" s="16" t="s">
        <v>158</v>
      </c>
      <c r="D127" s="19">
        <v>73</v>
      </c>
      <c r="E127" s="48"/>
      <c r="F127" s="49">
        <v>74989413.669999972</v>
      </c>
      <c r="G127" s="39">
        <f t="shared" si="42"/>
        <v>39526718.328880742</v>
      </c>
      <c r="H127" s="39">
        <f t="shared" si="42"/>
        <v>9931310.7074167542</v>
      </c>
      <c r="I127" s="39">
        <f t="shared" si="42"/>
        <v>10998598.665498137</v>
      </c>
      <c r="J127" s="39">
        <f t="shared" si="42"/>
        <v>6957305.522998943</v>
      </c>
      <c r="K127" s="39">
        <f t="shared" si="42"/>
        <v>4847082.6807084</v>
      </c>
      <c r="L127" s="39">
        <f t="shared" si="42"/>
        <v>13944.198503254021</v>
      </c>
      <c r="M127" s="39">
        <f t="shared" si="42"/>
        <v>384442.12953845545</v>
      </c>
      <c r="N127" s="39">
        <f t="shared" si="42"/>
        <v>0</v>
      </c>
      <c r="O127" s="39">
        <f t="shared" si="42"/>
        <v>2057411.3653757777</v>
      </c>
      <c r="P127" s="39">
        <f t="shared" si="42"/>
        <v>0</v>
      </c>
      <c r="Q127" s="39">
        <f t="shared" si="42"/>
        <v>247059.96161407616</v>
      </c>
      <c r="R127" s="39">
        <f t="shared" si="42"/>
        <v>25540.109465437377</v>
      </c>
      <c r="T127" s="97">
        <f t="shared" si="33"/>
        <v>0</v>
      </c>
    </row>
    <row r="128" spans="1:20" s="62" customFormat="1" x14ac:dyDescent="0.25">
      <c r="A128" s="22" t="s">
        <v>395</v>
      </c>
      <c r="B128" s="16" t="s">
        <v>396</v>
      </c>
      <c r="C128" s="16" t="s">
        <v>193</v>
      </c>
      <c r="E128" s="49">
        <v>28661894.716571223</v>
      </c>
      <c r="F128" s="49"/>
      <c r="G128" s="65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T128" s="97">
        <f t="shared" si="33"/>
        <v>0</v>
      </c>
    </row>
    <row r="129" spans="1:20" s="62" customFormat="1" x14ac:dyDescent="0.25">
      <c r="A129" s="22"/>
      <c r="B129" s="20" t="s">
        <v>322</v>
      </c>
      <c r="C129" s="16"/>
      <c r="D129" s="62">
        <v>29</v>
      </c>
      <c r="E129" s="64">
        <v>0.11</v>
      </c>
      <c r="F129" s="49">
        <f>E128*E129</f>
        <v>3152808.4188228347</v>
      </c>
      <c r="G129" s="65">
        <f t="shared" ref="G129:R130" si="43">INDEX(Alloc,($D129),(G$1))*$F129</f>
        <v>1685866.9339155802</v>
      </c>
      <c r="H129" s="65">
        <f t="shared" si="43"/>
        <v>388681.66652677185</v>
      </c>
      <c r="I129" s="65">
        <f t="shared" si="43"/>
        <v>416020.76077970502</v>
      </c>
      <c r="J129" s="65">
        <f t="shared" si="43"/>
        <v>218584.7347555926</v>
      </c>
      <c r="K129" s="65">
        <f t="shared" si="43"/>
        <v>154413.20225819768</v>
      </c>
      <c r="L129" s="65">
        <f t="shared" si="43"/>
        <v>5.2769638211320435</v>
      </c>
      <c r="M129" s="65">
        <f t="shared" si="43"/>
        <v>0</v>
      </c>
      <c r="N129" s="65">
        <f t="shared" si="43"/>
        <v>39798.034676570896</v>
      </c>
      <c r="O129" s="65">
        <f t="shared" si="43"/>
        <v>52447.634844464803</v>
      </c>
      <c r="P129" s="65">
        <f t="shared" si="43"/>
        <v>189838.30263493562</v>
      </c>
      <c r="Q129" s="65">
        <f t="shared" si="43"/>
        <v>6075.1248854401611</v>
      </c>
      <c r="R129" s="65">
        <f t="shared" si="43"/>
        <v>1076.7465817553323</v>
      </c>
      <c r="T129" s="97">
        <f t="shared" si="33"/>
        <v>0</v>
      </c>
    </row>
    <row r="130" spans="1:20" s="62" customFormat="1" x14ac:dyDescent="0.25">
      <c r="A130" s="22"/>
      <c r="B130" s="20" t="s">
        <v>323</v>
      </c>
      <c r="C130" s="16"/>
      <c r="D130" s="62">
        <v>51</v>
      </c>
      <c r="E130" s="64">
        <v>0.89</v>
      </c>
      <c r="F130" s="49">
        <f>E128*E130</f>
        <v>25509086.297748391</v>
      </c>
      <c r="G130" s="65">
        <f t="shared" si="43"/>
        <v>11975737.685740193</v>
      </c>
      <c r="H130" s="65">
        <f t="shared" si="43"/>
        <v>3042894.4242862067</v>
      </c>
      <c r="I130" s="65">
        <f t="shared" si="43"/>
        <v>3383931.6241502445</v>
      </c>
      <c r="J130" s="65">
        <f t="shared" si="43"/>
        <v>2183873.8008794347</v>
      </c>
      <c r="K130" s="65">
        <f t="shared" si="43"/>
        <v>1519414.449313825</v>
      </c>
      <c r="L130" s="65">
        <f t="shared" si="43"/>
        <v>4797.7157724236904</v>
      </c>
      <c r="M130" s="65">
        <f t="shared" si="43"/>
        <v>132414.6273095709</v>
      </c>
      <c r="N130" s="65">
        <f t="shared" si="43"/>
        <v>365321.13921210193</v>
      </c>
      <c r="O130" s="65">
        <f t="shared" si="43"/>
        <v>657664.35095623916</v>
      </c>
      <c r="P130" s="65">
        <f t="shared" si="43"/>
        <v>2156095.2199535258</v>
      </c>
      <c r="Q130" s="65">
        <f t="shared" si="43"/>
        <v>79190.941127608661</v>
      </c>
      <c r="R130" s="65">
        <f t="shared" si="43"/>
        <v>7750.3190470219852</v>
      </c>
      <c r="T130" s="97">
        <f t="shared" si="33"/>
        <v>0</v>
      </c>
    </row>
    <row r="131" spans="1:20" s="62" customFormat="1" x14ac:dyDescent="0.25">
      <c r="A131" s="22" t="s">
        <v>397</v>
      </c>
      <c r="B131" s="16" t="s">
        <v>398</v>
      </c>
      <c r="C131" s="16" t="s">
        <v>186</v>
      </c>
      <c r="E131" s="63">
        <v>3536313.4800000051</v>
      </c>
      <c r="F131" s="49"/>
      <c r="G131" s="65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T131" s="97">
        <f t="shared" si="33"/>
        <v>0</v>
      </c>
    </row>
    <row r="132" spans="1:20" s="62" customFormat="1" x14ac:dyDescent="0.25">
      <c r="A132" s="22"/>
      <c r="B132" s="20" t="s">
        <v>322</v>
      </c>
      <c r="C132" s="16"/>
      <c r="D132" s="62">
        <v>30</v>
      </c>
      <c r="E132" s="64">
        <v>0.11</v>
      </c>
      <c r="F132" s="49">
        <f>E131*E132</f>
        <v>388994.48280000058</v>
      </c>
      <c r="G132" s="65">
        <f t="shared" ref="G132:R134" si="44">INDEX(Alloc,($D132),(G$1))*$F132</f>
        <v>224342.91165269271</v>
      </c>
      <c r="H132" s="65">
        <f t="shared" si="44"/>
        <v>51722.929621800977</v>
      </c>
      <c r="I132" s="65">
        <f t="shared" si="44"/>
        <v>55361.017470410239</v>
      </c>
      <c r="J132" s="65">
        <f t="shared" si="44"/>
        <v>29087.666915683603</v>
      </c>
      <c r="K132" s="65">
        <f t="shared" si="44"/>
        <v>20548.186037294265</v>
      </c>
      <c r="L132" s="65">
        <f t="shared" si="44"/>
        <v>0.70221997033246475</v>
      </c>
      <c r="M132" s="65">
        <f t="shared" si="44"/>
        <v>0</v>
      </c>
      <c r="N132" s="65">
        <f t="shared" si="44"/>
        <v>0</v>
      </c>
      <c r="O132" s="65">
        <f t="shared" si="44"/>
        <v>6979.3498369270792</v>
      </c>
      <c r="P132" s="65">
        <f t="shared" si="44"/>
        <v>0</v>
      </c>
      <c r="Q132" s="65">
        <f t="shared" si="44"/>
        <v>808.43344040676516</v>
      </c>
      <c r="R132" s="65">
        <f t="shared" si="44"/>
        <v>143.28560481462742</v>
      </c>
      <c r="T132" s="97">
        <f t="shared" si="33"/>
        <v>0</v>
      </c>
    </row>
    <row r="133" spans="1:20" s="62" customFormat="1" x14ac:dyDescent="0.25">
      <c r="A133" s="22"/>
      <c r="B133" s="20" t="s">
        <v>323</v>
      </c>
      <c r="C133" s="16"/>
      <c r="D133" s="62">
        <v>52</v>
      </c>
      <c r="E133" s="64">
        <v>0.89</v>
      </c>
      <c r="F133" s="49">
        <f>E131*E133</f>
        <v>3147318.9972000048</v>
      </c>
      <c r="G133" s="65">
        <f t="shared" si="44"/>
        <v>1639638.4159210653</v>
      </c>
      <c r="H133" s="65">
        <f t="shared" si="44"/>
        <v>416612.88219367864</v>
      </c>
      <c r="I133" s="65">
        <f t="shared" si="44"/>
        <v>463305.4291439224</v>
      </c>
      <c r="J133" s="65">
        <f t="shared" si="44"/>
        <v>299001.48729119002</v>
      </c>
      <c r="K133" s="65">
        <f t="shared" si="44"/>
        <v>208028.12871953085</v>
      </c>
      <c r="L133" s="65">
        <f t="shared" si="44"/>
        <v>656.87135903979834</v>
      </c>
      <c r="M133" s="65">
        <f t="shared" si="44"/>
        <v>18129.33077393335</v>
      </c>
      <c r="N133" s="65">
        <f t="shared" si="44"/>
        <v>0</v>
      </c>
      <c r="O133" s="65">
        <f t="shared" si="44"/>
        <v>90043.032246242292</v>
      </c>
      <c r="P133" s="65">
        <f t="shared" si="44"/>
        <v>0</v>
      </c>
      <c r="Q133" s="65">
        <f t="shared" si="44"/>
        <v>10842.297374330406</v>
      </c>
      <c r="R133" s="65">
        <f t="shared" si="44"/>
        <v>1061.122177072514</v>
      </c>
      <c r="T133" s="97">
        <f t="shared" si="33"/>
        <v>0</v>
      </c>
    </row>
    <row r="134" spans="1:20" s="62" customFormat="1" x14ac:dyDescent="0.25">
      <c r="A134" s="22" t="s">
        <v>399</v>
      </c>
      <c r="B134" s="16" t="s">
        <v>400</v>
      </c>
      <c r="C134" s="16" t="s">
        <v>27</v>
      </c>
      <c r="D134" s="62">
        <v>6</v>
      </c>
      <c r="E134" s="63"/>
      <c r="F134" s="49">
        <v>9969.1200000000008</v>
      </c>
      <c r="G134" s="65">
        <f t="shared" si="44"/>
        <v>0</v>
      </c>
      <c r="H134" s="65">
        <f t="shared" si="44"/>
        <v>0</v>
      </c>
      <c r="I134" s="65">
        <f t="shared" si="44"/>
        <v>0</v>
      </c>
      <c r="J134" s="65">
        <f t="shared" si="44"/>
        <v>0</v>
      </c>
      <c r="K134" s="65">
        <f t="shared" si="44"/>
        <v>0</v>
      </c>
      <c r="L134" s="65">
        <f t="shared" si="44"/>
        <v>0</v>
      </c>
      <c r="M134" s="65">
        <f t="shared" si="44"/>
        <v>0</v>
      </c>
      <c r="N134" s="65">
        <f t="shared" si="44"/>
        <v>0</v>
      </c>
      <c r="O134" s="65">
        <f t="shared" si="44"/>
        <v>0</v>
      </c>
      <c r="P134" s="65">
        <f t="shared" si="44"/>
        <v>9969.1200000000008</v>
      </c>
      <c r="Q134" s="65">
        <f t="shared" si="44"/>
        <v>0</v>
      </c>
      <c r="R134" s="65">
        <f t="shared" si="44"/>
        <v>0</v>
      </c>
      <c r="T134" s="97">
        <f t="shared" si="33"/>
        <v>0</v>
      </c>
    </row>
    <row r="135" spans="1:20" s="62" customFormat="1" x14ac:dyDescent="0.25">
      <c r="A135" s="22" t="s">
        <v>401</v>
      </c>
      <c r="B135" s="16" t="s">
        <v>402</v>
      </c>
      <c r="C135" s="16" t="s">
        <v>186</v>
      </c>
      <c r="E135" s="63">
        <v>3010267.3200000003</v>
      </c>
      <c r="F135" s="49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T135" s="97">
        <f t="shared" si="33"/>
        <v>0</v>
      </c>
    </row>
    <row r="136" spans="1:20" s="62" customFormat="1" x14ac:dyDescent="0.25">
      <c r="A136" s="22"/>
      <c r="B136" s="20" t="s">
        <v>322</v>
      </c>
      <c r="C136" s="16"/>
      <c r="D136" s="62">
        <v>30</v>
      </c>
      <c r="E136" s="64">
        <v>0.11</v>
      </c>
      <c r="F136" s="49">
        <f>E135*E136</f>
        <v>331129.40520000004</v>
      </c>
      <c r="G136" s="65">
        <f t="shared" ref="G136:R145" si="45">INDEX(Alloc,($D136),(G$1))*$F136</f>
        <v>190970.66457517425</v>
      </c>
      <c r="H136" s="65">
        <f t="shared" si="45"/>
        <v>44028.858192505948</v>
      </c>
      <c r="I136" s="65">
        <f t="shared" si="45"/>
        <v>47125.760381719549</v>
      </c>
      <c r="J136" s="65">
        <f t="shared" si="45"/>
        <v>24760.715820738671</v>
      </c>
      <c r="K136" s="65">
        <f t="shared" si="45"/>
        <v>17491.52988364231</v>
      </c>
      <c r="L136" s="65">
        <f t="shared" si="45"/>
        <v>0.5977608716247591</v>
      </c>
      <c r="M136" s="65">
        <f t="shared" si="45"/>
        <v>0</v>
      </c>
      <c r="N136" s="65">
        <f t="shared" si="45"/>
        <v>0</v>
      </c>
      <c r="O136" s="65">
        <f t="shared" si="45"/>
        <v>5941.1330041218198</v>
      </c>
      <c r="P136" s="65">
        <f t="shared" si="45"/>
        <v>0</v>
      </c>
      <c r="Q136" s="65">
        <f t="shared" si="45"/>
        <v>688.17450144483496</v>
      </c>
      <c r="R136" s="65">
        <f t="shared" si="45"/>
        <v>121.9710797810569</v>
      </c>
      <c r="T136" s="97">
        <f t="shared" si="33"/>
        <v>0</v>
      </c>
    </row>
    <row r="137" spans="1:20" s="62" customFormat="1" x14ac:dyDescent="0.25">
      <c r="A137" s="22"/>
      <c r="B137" s="20" t="s">
        <v>323</v>
      </c>
      <c r="C137" s="16"/>
      <c r="D137" s="62">
        <v>52</v>
      </c>
      <c r="E137" s="64">
        <v>0.89</v>
      </c>
      <c r="F137" s="49">
        <f>E135*E137</f>
        <v>2679137.9148000004</v>
      </c>
      <c r="G137" s="65">
        <f t="shared" si="45"/>
        <v>1395733.146390558</v>
      </c>
      <c r="H137" s="65">
        <f t="shared" si="45"/>
        <v>354639.41515689355</v>
      </c>
      <c r="I137" s="65">
        <f t="shared" si="45"/>
        <v>394386.18788131961</v>
      </c>
      <c r="J137" s="65">
        <f t="shared" si="45"/>
        <v>254523.36477366352</v>
      </c>
      <c r="K137" s="65">
        <f t="shared" si="45"/>
        <v>177082.79570428701</v>
      </c>
      <c r="L137" s="65">
        <f t="shared" si="45"/>
        <v>559.15811670674873</v>
      </c>
      <c r="M137" s="65">
        <f t="shared" si="45"/>
        <v>15432.492699216755</v>
      </c>
      <c r="N137" s="65">
        <f t="shared" si="45"/>
        <v>0</v>
      </c>
      <c r="O137" s="65">
        <f t="shared" si="45"/>
        <v>76648.633922739507</v>
      </c>
      <c r="P137" s="65">
        <f t="shared" si="45"/>
        <v>0</v>
      </c>
      <c r="Q137" s="65">
        <f t="shared" si="45"/>
        <v>9229.445761598201</v>
      </c>
      <c r="R137" s="65">
        <f t="shared" si="45"/>
        <v>903.27439301807544</v>
      </c>
      <c r="T137" s="97">
        <f t="shared" si="33"/>
        <v>0</v>
      </c>
    </row>
    <row r="138" spans="1:20" x14ac:dyDescent="0.25">
      <c r="A138" s="22" t="s">
        <v>403</v>
      </c>
      <c r="B138" s="16" t="s">
        <v>404</v>
      </c>
      <c r="C138" s="16" t="s">
        <v>121</v>
      </c>
      <c r="D138" s="19">
        <v>54</v>
      </c>
      <c r="E138" s="48"/>
      <c r="F138" s="49">
        <v>71582.14</v>
      </c>
      <c r="G138" s="39">
        <f t="shared" si="45"/>
        <v>29713.450099386693</v>
      </c>
      <c r="H138" s="39">
        <f t="shared" si="45"/>
        <v>9578.9042275408301</v>
      </c>
      <c r="I138" s="39">
        <f t="shared" si="45"/>
        <v>12462.470301047517</v>
      </c>
      <c r="J138" s="39">
        <f t="shared" si="45"/>
        <v>7324.2967763313</v>
      </c>
      <c r="K138" s="39">
        <f t="shared" si="45"/>
        <v>6032.7788113126844</v>
      </c>
      <c r="L138" s="39">
        <f t="shared" si="45"/>
        <v>1.320552331085926</v>
      </c>
      <c r="M138" s="39">
        <f t="shared" si="45"/>
        <v>308.40899441452211</v>
      </c>
      <c r="N138" s="39">
        <f t="shared" si="45"/>
        <v>6092.0196687522339</v>
      </c>
      <c r="O138" s="39">
        <f t="shared" si="45"/>
        <v>22.309030880357984</v>
      </c>
      <c r="P138" s="39">
        <f t="shared" si="45"/>
        <v>0</v>
      </c>
      <c r="Q138" s="39">
        <f t="shared" si="45"/>
        <v>42.173194815993284</v>
      </c>
      <c r="R138" s="39">
        <f t="shared" si="45"/>
        <v>4.0083431867810173</v>
      </c>
      <c r="T138" s="97">
        <f t="shared" si="33"/>
        <v>0</v>
      </c>
    </row>
    <row r="139" spans="1:20" x14ac:dyDescent="0.25">
      <c r="A139" s="22" t="s">
        <v>405</v>
      </c>
      <c r="B139" s="16" t="s">
        <v>406</v>
      </c>
      <c r="C139" s="16" t="s">
        <v>123</v>
      </c>
      <c r="D139" s="19">
        <v>55</v>
      </c>
      <c r="E139" s="48"/>
      <c r="F139" s="49">
        <v>142607.19</v>
      </c>
      <c r="G139" s="39">
        <f t="shared" si="45"/>
        <v>66752.40422647653</v>
      </c>
      <c r="H139" s="39">
        <f t="shared" si="45"/>
        <v>18375.886789560907</v>
      </c>
      <c r="I139" s="39">
        <f t="shared" si="45"/>
        <v>22822.467407878503</v>
      </c>
      <c r="J139" s="39">
        <f t="shared" si="45"/>
        <v>13273.198772920263</v>
      </c>
      <c r="K139" s="39">
        <f t="shared" si="45"/>
        <v>8713.8559134993211</v>
      </c>
      <c r="L139" s="39">
        <f t="shared" si="45"/>
        <v>1.8950044719494515E-2</v>
      </c>
      <c r="M139" s="39">
        <f t="shared" si="45"/>
        <v>1071.3123531495432</v>
      </c>
      <c r="N139" s="39">
        <f t="shared" si="45"/>
        <v>6319.3133796683096</v>
      </c>
      <c r="O139" s="39">
        <f t="shared" si="45"/>
        <v>2362.3335502731711</v>
      </c>
      <c r="P139" s="39">
        <f t="shared" si="45"/>
        <v>2800.045381951029</v>
      </c>
      <c r="Q139" s="39">
        <f t="shared" si="45"/>
        <v>101.4301143610944</v>
      </c>
      <c r="R139" s="39">
        <f t="shared" si="45"/>
        <v>14.92316021660193</v>
      </c>
      <c r="T139" s="97">
        <f t="shared" si="33"/>
        <v>0</v>
      </c>
    </row>
    <row r="140" spans="1:20" x14ac:dyDescent="0.25">
      <c r="A140" s="22" t="s">
        <v>407</v>
      </c>
      <c r="B140" s="16" t="s">
        <v>408</v>
      </c>
      <c r="C140" s="16" t="s">
        <v>124</v>
      </c>
      <c r="D140" s="19">
        <v>56</v>
      </c>
      <c r="E140" s="48"/>
      <c r="F140" s="49">
        <v>9552274.1199999992</v>
      </c>
      <c r="G140" s="39">
        <f t="shared" si="45"/>
        <v>4953698.6881863559</v>
      </c>
      <c r="H140" s="39">
        <f t="shared" si="45"/>
        <v>1197675.2996748991</v>
      </c>
      <c r="I140" s="39">
        <f t="shared" si="45"/>
        <v>1315993.2068827043</v>
      </c>
      <c r="J140" s="39">
        <f t="shared" si="45"/>
        <v>700229.02851630352</v>
      </c>
      <c r="K140" s="39">
        <f t="shared" si="45"/>
        <v>636677.45724569517</v>
      </c>
      <c r="L140" s="39">
        <f t="shared" si="45"/>
        <v>2292.2534956184973</v>
      </c>
      <c r="M140" s="39">
        <f t="shared" si="45"/>
        <v>71591.024870286885</v>
      </c>
      <c r="N140" s="39">
        <f t="shared" si="45"/>
        <v>307347.9533009369</v>
      </c>
      <c r="O140" s="39">
        <f t="shared" si="45"/>
        <v>249623.39140111406</v>
      </c>
      <c r="P140" s="39">
        <f t="shared" si="45"/>
        <v>107546.1751213634</v>
      </c>
      <c r="Q140" s="39">
        <f t="shared" si="45"/>
        <v>7159.2498824371323</v>
      </c>
      <c r="R140" s="39">
        <f t="shared" si="45"/>
        <v>2440.3914222854178</v>
      </c>
      <c r="T140" s="97">
        <f t="shared" si="33"/>
        <v>0</v>
      </c>
    </row>
    <row r="141" spans="1:20" x14ac:dyDescent="0.25">
      <c r="A141" s="22" t="s">
        <v>409</v>
      </c>
      <c r="B141" s="16" t="s">
        <v>410</v>
      </c>
      <c r="C141" s="16" t="s">
        <v>102</v>
      </c>
      <c r="D141" s="19">
        <v>44</v>
      </c>
      <c r="E141" s="48"/>
      <c r="F141" s="49">
        <v>54950.929999999986</v>
      </c>
      <c r="G141" s="39">
        <f t="shared" si="45"/>
        <v>30673.375654063973</v>
      </c>
      <c r="H141" s="39">
        <f t="shared" si="45"/>
        <v>7416.0231961891568</v>
      </c>
      <c r="I141" s="39">
        <f t="shared" si="45"/>
        <v>8148.6494302075253</v>
      </c>
      <c r="J141" s="39">
        <f t="shared" si="45"/>
        <v>4335.8285167369559</v>
      </c>
      <c r="K141" s="39">
        <f t="shared" si="45"/>
        <v>3860.1257276085316</v>
      </c>
      <c r="L141" s="39">
        <f t="shared" si="45"/>
        <v>14.193667598945087</v>
      </c>
      <c r="M141" s="39">
        <f t="shared" si="45"/>
        <v>443.29268644107248</v>
      </c>
      <c r="N141" s="39">
        <f t="shared" si="45"/>
        <v>0</v>
      </c>
      <c r="O141" s="39">
        <f t="shared" si="45"/>
        <v>0</v>
      </c>
      <c r="P141" s="39">
        <f t="shared" si="45"/>
        <v>0</v>
      </c>
      <c r="Q141" s="39">
        <f t="shared" si="45"/>
        <v>44.330181318659626</v>
      </c>
      <c r="R141" s="39">
        <f t="shared" si="45"/>
        <v>15.110939835164247</v>
      </c>
      <c r="T141" s="97">
        <f t="shared" si="33"/>
        <v>0</v>
      </c>
    </row>
    <row r="142" spans="1:20" x14ac:dyDescent="0.25">
      <c r="A142" s="22" t="s">
        <v>411</v>
      </c>
      <c r="B142" s="16" t="s">
        <v>412</v>
      </c>
      <c r="C142" s="16" t="s">
        <v>104</v>
      </c>
      <c r="D142" s="19">
        <v>45</v>
      </c>
      <c r="E142" s="48"/>
      <c r="F142" s="49">
        <v>12015090.43</v>
      </c>
      <c r="G142" s="39">
        <f t="shared" si="45"/>
        <v>8280957.1348556913</v>
      </c>
      <c r="H142" s="39">
        <f t="shared" si="45"/>
        <v>1513073.6062078436</v>
      </c>
      <c r="I142" s="39">
        <f t="shared" si="45"/>
        <v>1176308.0451656198</v>
      </c>
      <c r="J142" s="39">
        <f t="shared" si="45"/>
        <v>465329.02715162426</v>
      </c>
      <c r="K142" s="39">
        <f t="shared" si="45"/>
        <v>435568.63032201934</v>
      </c>
      <c r="L142" s="39">
        <f t="shared" si="45"/>
        <v>10909.731846700251</v>
      </c>
      <c r="M142" s="39">
        <f t="shared" si="45"/>
        <v>117376.16365155604</v>
      </c>
      <c r="N142" s="39">
        <f t="shared" si="45"/>
        <v>0</v>
      </c>
      <c r="O142" s="39">
        <f t="shared" si="45"/>
        <v>0</v>
      </c>
      <c r="P142" s="39">
        <f t="shared" si="45"/>
        <v>0</v>
      </c>
      <c r="Q142" s="39">
        <f t="shared" si="45"/>
        <v>7277.1773269471823</v>
      </c>
      <c r="R142" s="39">
        <f t="shared" si="45"/>
        <v>8290.9134719945505</v>
      </c>
      <c r="T142" s="97">
        <f t="shared" si="33"/>
        <v>0</v>
      </c>
    </row>
    <row r="143" spans="1:20" x14ac:dyDescent="0.25">
      <c r="A143" s="22" t="s">
        <v>413</v>
      </c>
      <c r="B143" s="16" t="s">
        <v>414</v>
      </c>
      <c r="C143" s="16" t="s">
        <v>104</v>
      </c>
      <c r="D143" s="19">
        <v>45</v>
      </c>
      <c r="E143" s="48"/>
      <c r="F143" s="49">
        <v>17443235.939999998</v>
      </c>
      <c r="G143" s="39">
        <f t="shared" si="45"/>
        <v>12022105.863777025</v>
      </c>
      <c r="H143" s="39">
        <f t="shared" si="45"/>
        <v>2196645.9646255085</v>
      </c>
      <c r="I143" s="39">
        <f t="shared" si="45"/>
        <v>1707737.3565755244</v>
      </c>
      <c r="J143" s="39">
        <f t="shared" si="45"/>
        <v>675554.13399717933</v>
      </c>
      <c r="K143" s="39">
        <f t="shared" si="45"/>
        <v>632348.66445941688</v>
      </c>
      <c r="L143" s="39">
        <f t="shared" si="45"/>
        <v>15838.5014039486</v>
      </c>
      <c r="M143" s="39">
        <f t="shared" si="45"/>
        <v>170404.05382168596</v>
      </c>
      <c r="N143" s="39">
        <f t="shared" si="45"/>
        <v>0</v>
      </c>
      <c r="O143" s="39">
        <f t="shared" si="45"/>
        <v>0</v>
      </c>
      <c r="P143" s="39">
        <f t="shared" si="45"/>
        <v>0</v>
      </c>
      <c r="Q143" s="39">
        <f t="shared" si="45"/>
        <v>10564.84109135067</v>
      </c>
      <c r="R143" s="39">
        <f t="shared" si="45"/>
        <v>12036.560248354743</v>
      </c>
      <c r="T143" s="97">
        <f t="shared" si="33"/>
        <v>0</v>
      </c>
    </row>
    <row r="144" spans="1:20" x14ac:dyDescent="0.25">
      <c r="A144" s="22" t="s">
        <v>415</v>
      </c>
      <c r="B144" s="16" t="s">
        <v>416</v>
      </c>
      <c r="C144" s="16" t="s">
        <v>107</v>
      </c>
      <c r="D144" s="19">
        <v>47</v>
      </c>
      <c r="E144" s="48"/>
      <c r="F144" s="49">
        <v>13080710</v>
      </c>
      <c r="G144" s="39">
        <f t="shared" si="45"/>
        <v>8803246.325757876</v>
      </c>
      <c r="H144" s="39">
        <f t="shared" si="45"/>
        <v>1568630.7978229651</v>
      </c>
      <c r="I144" s="39">
        <f t="shared" si="45"/>
        <v>1463813.2585704878</v>
      </c>
      <c r="J144" s="39">
        <f t="shared" si="45"/>
        <v>635547.13899224869</v>
      </c>
      <c r="K144" s="39">
        <f t="shared" si="45"/>
        <v>453322.88479923527</v>
      </c>
      <c r="L144" s="39">
        <f t="shared" si="45"/>
        <v>5383.5741076458035</v>
      </c>
      <c r="M144" s="39">
        <f t="shared" si="45"/>
        <v>141153.42136215419</v>
      </c>
      <c r="N144" s="39">
        <f t="shared" si="45"/>
        <v>0</v>
      </c>
      <c r="O144" s="39">
        <f t="shared" si="45"/>
        <v>0</v>
      </c>
      <c r="P144" s="39">
        <f t="shared" si="45"/>
        <v>0</v>
      </c>
      <c r="Q144" s="39">
        <f t="shared" si="45"/>
        <v>6032.1974941091539</v>
      </c>
      <c r="R144" s="39">
        <f t="shared" si="45"/>
        <v>3580.4010932776905</v>
      </c>
      <c r="T144" s="97">
        <f t="shared" si="33"/>
        <v>0</v>
      </c>
    </row>
    <row r="145" spans="1:20" x14ac:dyDescent="0.25">
      <c r="A145" s="22" t="s">
        <v>417</v>
      </c>
      <c r="B145" s="16" t="s">
        <v>418</v>
      </c>
      <c r="C145" s="16" t="s">
        <v>107</v>
      </c>
      <c r="D145" s="19">
        <v>47</v>
      </c>
      <c r="E145" s="48"/>
      <c r="F145" s="49">
        <v>38836748.5598768</v>
      </c>
      <c r="G145" s="39">
        <f t="shared" si="45"/>
        <v>26136919.48404314</v>
      </c>
      <c r="H145" s="39">
        <f t="shared" si="45"/>
        <v>4657279.297402774</v>
      </c>
      <c r="I145" s="39">
        <f t="shared" si="45"/>
        <v>4346075.0572190629</v>
      </c>
      <c r="J145" s="39">
        <f t="shared" si="45"/>
        <v>1886945.3137475743</v>
      </c>
      <c r="K145" s="39">
        <f t="shared" si="45"/>
        <v>1345919.8234182927</v>
      </c>
      <c r="L145" s="39">
        <f t="shared" si="45"/>
        <v>15983.881148049548</v>
      </c>
      <c r="M145" s="39">
        <f t="shared" si="45"/>
        <v>419085.80908898101</v>
      </c>
      <c r="N145" s="39">
        <f t="shared" si="45"/>
        <v>0</v>
      </c>
      <c r="O145" s="39">
        <f t="shared" si="45"/>
        <v>0</v>
      </c>
      <c r="P145" s="39">
        <f t="shared" si="45"/>
        <v>0</v>
      </c>
      <c r="Q145" s="39">
        <f t="shared" si="45"/>
        <v>17909.649961067564</v>
      </c>
      <c r="R145" s="39">
        <f t="shared" si="45"/>
        <v>10630.243847859456</v>
      </c>
      <c r="T145" s="97">
        <f t="shared" si="33"/>
        <v>0</v>
      </c>
    </row>
    <row r="146" spans="1:20" x14ac:dyDescent="0.25">
      <c r="A146" s="22" t="s">
        <v>419</v>
      </c>
      <c r="B146" s="16" t="s">
        <v>420</v>
      </c>
      <c r="C146" s="16" t="s">
        <v>130</v>
      </c>
      <c r="D146" s="19">
        <v>59</v>
      </c>
      <c r="E146" s="48"/>
      <c r="F146" s="49">
        <v>20242879.390000001</v>
      </c>
      <c r="G146" s="39">
        <f t="shared" ref="G146:R156" si="46">INDEX(Alloc,($D146),(G$1))*$F146</f>
        <v>15558858.408078134</v>
      </c>
      <c r="H146" s="39">
        <f t="shared" si="46"/>
        <v>2453563.8691945714</v>
      </c>
      <c r="I146" s="39">
        <f t="shared" si="46"/>
        <v>885151.63384795142</v>
      </c>
      <c r="J146" s="39">
        <f t="shared" si="46"/>
        <v>211251.65846275605</v>
      </c>
      <c r="K146" s="39">
        <f t="shared" si="46"/>
        <v>101619.41317769684</v>
      </c>
      <c r="L146" s="39">
        <f t="shared" si="46"/>
        <v>0</v>
      </c>
      <c r="M146" s="39">
        <f t="shared" si="46"/>
        <v>5823.957960710808</v>
      </c>
      <c r="N146" s="39">
        <f t="shared" si="46"/>
        <v>197247.08150201503</v>
      </c>
      <c r="O146" s="39">
        <f t="shared" si="46"/>
        <v>0</v>
      </c>
      <c r="P146" s="39">
        <f t="shared" si="46"/>
        <v>0</v>
      </c>
      <c r="Q146" s="39">
        <f t="shared" si="46"/>
        <v>826972.48304086016</v>
      </c>
      <c r="R146" s="39">
        <f t="shared" si="46"/>
        <v>2390.8847353073465</v>
      </c>
      <c r="T146" s="97">
        <f t="shared" si="33"/>
        <v>0</v>
      </c>
    </row>
    <row r="147" spans="1:20" x14ac:dyDescent="0.25">
      <c r="A147" s="22" t="s">
        <v>421</v>
      </c>
      <c r="B147" s="16" t="s">
        <v>422</v>
      </c>
      <c r="C147" s="16" t="s">
        <v>132</v>
      </c>
      <c r="D147" s="19">
        <v>60</v>
      </c>
      <c r="E147" s="48"/>
      <c r="F147" s="49">
        <v>5946476.4000000004</v>
      </c>
      <c r="G147" s="39">
        <f t="shared" si="46"/>
        <v>5770232.7534907367</v>
      </c>
      <c r="H147" s="39">
        <f t="shared" si="46"/>
        <v>169604.63106701686</v>
      </c>
      <c r="I147" s="39">
        <f t="shared" si="46"/>
        <v>6498.2257651022683</v>
      </c>
      <c r="J147" s="39">
        <f t="shared" si="46"/>
        <v>140.78967714472898</v>
      </c>
      <c r="K147" s="39">
        <f t="shared" si="46"/>
        <v>0</v>
      </c>
      <c r="L147" s="39">
        <f t="shared" si="46"/>
        <v>0</v>
      </c>
      <c r="M147" s="39">
        <f t="shared" si="46"/>
        <v>0</v>
      </c>
      <c r="N147" s="39">
        <f t="shared" si="46"/>
        <v>0</v>
      </c>
      <c r="O147" s="39">
        <f t="shared" si="46"/>
        <v>0</v>
      </c>
      <c r="P147" s="39">
        <f t="shared" si="46"/>
        <v>0</v>
      </c>
      <c r="Q147" s="39">
        <f t="shared" si="46"/>
        <v>0</v>
      </c>
      <c r="R147" s="39">
        <f t="shared" si="46"/>
        <v>0</v>
      </c>
      <c r="T147" s="97">
        <f t="shared" si="33"/>
        <v>0</v>
      </c>
    </row>
    <row r="148" spans="1:20" x14ac:dyDescent="0.25">
      <c r="A148" s="22" t="s">
        <v>423</v>
      </c>
      <c r="B148" s="16" t="s">
        <v>424</v>
      </c>
      <c r="C148" s="16" t="s">
        <v>53</v>
      </c>
      <c r="D148" s="19">
        <v>19</v>
      </c>
      <c r="E148" s="48"/>
      <c r="F148" s="49">
        <v>15485581.179727737</v>
      </c>
      <c r="G148" s="39">
        <f t="shared" si="46"/>
        <v>10053641.400099199</v>
      </c>
      <c r="H148" s="39">
        <f t="shared" si="46"/>
        <v>2821910.7948202551</v>
      </c>
      <c r="I148" s="39">
        <f t="shared" si="46"/>
        <v>833976.50522781222</v>
      </c>
      <c r="J148" s="39">
        <f t="shared" si="46"/>
        <v>93731.805714208371</v>
      </c>
      <c r="K148" s="39">
        <f t="shared" si="46"/>
        <v>1122700.9247211104</v>
      </c>
      <c r="L148" s="39">
        <f t="shared" si="46"/>
        <v>3640.1501402089707</v>
      </c>
      <c r="M148" s="39">
        <f t="shared" si="46"/>
        <v>362836.37973372452</v>
      </c>
      <c r="N148" s="39">
        <f t="shared" si="46"/>
        <v>73384.185148474222</v>
      </c>
      <c r="O148" s="39">
        <f t="shared" si="46"/>
        <v>45571.404163884014</v>
      </c>
      <c r="P148" s="39">
        <f t="shared" si="46"/>
        <v>73369.567913433959</v>
      </c>
      <c r="Q148" s="39">
        <f t="shared" si="46"/>
        <v>0</v>
      </c>
      <c r="R148" s="39">
        <f t="shared" si="46"/>
        <v>818.06204542367198</v>
      </c>
      <c r="T148" s="97">
        <f t="shared" si="33"/>
        <v>0</v>
      </c>
    </row>
    <row r="149" spans="1:20" x14ac:dyDescent="0.25">
      <c r="A149" s="22" t="s">
        <v>425</v>
      </c>
      <c r="B149" s="16" t="s">
        <v>426</v>
      </c>
      <c r="C149" s="16" t="s">
        <v>39</v>
      </c>
      <c r="D149" s="19">
        <v>12</v>
      </c>
      <c r="E149" s="48"/>
      <c r="F149" s="49">
        <v>2670044.1300000004</v>
      </c>
      <c r="G149" s="39">
        <f t="shared" si="46"/>
        <v>0</v>
      </c>
      <c r="H149" s="39">
        <f t="shared" si="46"/>
        <v>0</v>
      </c>
      <c r="I149" s="39">
        <f t="shared" si="46"/>
        <v>0</v>
      </c>
      <c r="J149" s="39">
        <f t="shared" si="46"/>
        <v>0</v>
      </c>
      <c r="K149" s="39">
        <f t="shared" si="46"/>
        <v>0</v>
      </c>
      <c r="L149" s="39">
        <f t="shared" si="46"/>
        <v>0</v>
      </c>
      <c r="M149" s="39">
        <f t="shared" si="46"/>
        <v>0</v>
      </c>
      <c r="N149" s="39">
        <f t="shared" si="46"/>
        <v>0</v>
      </c>
      <c r="O149" s="39">
        <f t="shared" si="46"/>
        <v>0</v>
      </c>
      <c r="P149" s="39">
        <f t="shared" si="46"/>
        <v>0</v>
      </c>
      <c r="Q149" s="39">
        <f t="shared" si="46"/>
        <v>2670044.1300000004</v>
      </c>
      <c r="R149" s="39">
        <f t="shared" si="46"/>
        <v>0</v>
      </c>
      <c r="T149" s="97">
        <f t="shared" si="33"/>
        <v>0</v>
      </c>
    </row>
    <row r="150" spans="1:20" x14ac:dyDescent="0.25">
      <c r="A150" s="22">
        <v>403.06</v>
      </c>
      <c r="B150" s="16" t="s">
        <v>427</v>
      </c>
      <c r="C150" s="16" t="s">
        <v>152</v>
      </c>
      <c r="D150" s="19">
        <v>70</v>
      </c>
      <c r="E150" s="48"/>
      <c r="F150" s="49">
        <v>31544118.98686849</v>
      </c>
      <c r="G150" s="39">
        <f t="shared" si="46"/>
        <v>19204220.155772384</v>
      </c>
      <c r="H150" s="39">
        <f t="shared" si="46"/>
        <v>3817043.3514522323</v>
      </c>
      <c r="I150" s="39">
        <f t="shared" si="46"/>
        <v>3464678.6466769376</v>
      </c>
      <c r="J150" s="39">
        <f t="shared" si="46"/>
        <v>1970805.6248956691</v>
      </c>
      <c r="K150" s="39">
        <f t="shared" si="46"/>
        <v>1472246.3550639856</v>
      </c>
      <c r="L150" s="39">
        <f t="shared" si="46"/>
        <v>7723.1321495409484</v>
      </c>
      <c r="M150" s="39">
        <f t="shared" si="46"/>
        <v>185655.1420652263</v>
      </c>
      <c r="N150" s="39">
        <f t="shared" si="46"/>
        <v>192182.01057728432</v>
      </c>
      <c r="O150" s="39">
        <f t="shared" si="46"/>
        <v>493358.72608552314</v>
      </c>
      <c r="P150" s="39">
        <f t="shared" si="46"/>
        <v>294501.34343528387</v>
      </c>
      <c r="Q150" s="39">
        <f t="shared" si="46"/>
        <v>432671.89903803373</v>
      </c>
      <c r="R150" s="39">
        <f t="shared" si="46"/>
        <v>9032.5996563927765</v>
      </c>
      <c r="T150" s="97">
        <f t="shared" si="33"/>
        <v>0</v>
      </c>
    </row>
    <row r="151" spans="1:20" x14ac:dyDescent="0.25">
      <c r="A151" s="22" t="s">
        <v>428</v>
      </c>
      <c r="B151" s="16" t="s">
        <v>429</v>
      </c>
      <c r="C151" s="16" t="s">
        <v>158</v>
      </c>
      <c r="D151" s="19">
        <v>73</v>
      </c>
      <c r="E151" s="48"/>
      <c r="F151" s="49">
        <v>7651253.0900000008</v>
      </c>
      <c r="G151" s="39">
        <f t="shared" si="46"/>
        <v>4032954.9325759988</v>
      </c>
      <c r="H151" s="39">
        <f t="shared" si="46"/>
        <v>1013302.6519218092</v>
      </c>
      <c r="I151" s="39">
        <f t="shared" si="46"/>
        <v>1122199.2266186837</v>
      </c>
      <c r="J151" s="39">
        <f t="shared" si="46"/>
        <v>709861.60280135123</v>
      </c>
      <c r="K151" s="39">
        <f t="shared" si="46"/>
        <v>494553.22455857845</v>
      </c>
      <c r="L151" s="39">
        <f t="shared" si="46"/>
        <v>1422.7420466987599</v>
      </c>
      <c r="M151" s="39">
        <f t="shared" si="46"/>
        <v>39225.057079410675</v>
      </c>
      <c r="N151" s="39">
        <f t="shared" si="46"/>
        <v>0</v>
      </c>
      <c r="O151" s="39">
        <f t="shared" si="46"/>
        <v>209919.96465002559</v>
      </c>
      <c r="P151" s="39">
        <f t="shared" si="46"/>
        <v>0</v>
      </c>
      <c r="Q151" s="39">
        <f t="shared" si="46"/>
        <v>25207.802037679041</v>
      </c>
      <c r="R151" s="39">
        <f t="shared" si="46"/>
        <v>2605.8857097657592</v>
      </c>
      <c r="T151" s="97">
        <f t="shared" si="33"/>
        <v>0</v>
      </c>
    </row>
    <row r="152" spans="1:20" x14ac:dyDescent="0.25">
      <c r="A152" s="22" t="s">
        <v>430</v>
      </c>
      <c r="B152" s="16" t="s">
        <v>431</v>
      </c>
      <c r="C152" s="16" t="s">
        <v>176</v>
      </c>
      <c r="D152" s="19">
        <v>82</v>
      </c>
      <c r="E152" s="48"/>
      <c r="F152" s="49">
        <v>88906.44</v>
      </c>
      <c r="G152" s="39">
        <f t="shared" si="46"/>
        <v>43386.323738282721</v>
      </c>
      <c r="H152" s="39">
        <f t="shared" si="46"/>
        <v>10898.712853841052</v>
      </c>
      <c r="I152" s="39">
        <f t="shared" si="46"/>
        <v>12068.99478919031</v>
      </c>
      <c r="J152" s="39">
        <f t="shared" si="46"/>
        <v>7631.4029255952473</v>
      </c>
      <c r="K152" s="39">
        <f t="shared" si="46"/>
        <v>5316.8623275433019</v>
      </c>
      <c r="L152" s="39">
        <f t="shared" si="46"/>
        <v>15.2661737493441</v>
      </c>
      <c r="M152" s="39">
        <f t="shared" si="46"/>
        <v>420.87926486800541</v>
      </c>
      <c r="N152" s="39">
        <f t="shared" si="46"/>
        <v>970.52268084914954</v>
      </c>
      <c r="O152" s="39">
        <f t="shared" si="46"/>
        <v>2255.9358253249043</v>
      </c>
      <c r="P152" s="39">
        <f t="shared" si="46"/>
        <v>5642.6219036800958</v>
      </c>
      <c r="Q152" s="39">
        <f t="shared" si="46"/>
        <v>270.88437626702125</v>
      </c>
      <c r="R152" s="39">
        <f t="shared" si="46"/>
        <v>28.033140808833643</v>
      </c>
      <c r="T152" s="97">
        <f t="shared" si="33"/>
        <v>0</v>
      </c>
    </row>
    <row r="153" spans="1:20" x14ac:dyDescent="0.25">
      <c r="A153" s="22" t="s">
        <v>432</v>
      </c>
      <c r="B153" s="16" t="s">
        <v>433</v>
      </c>
      <c r="C153" s="16" t="s">
        <v>148</v>
      </c>
      <c r="D153" s="19">
        <v>68</v>
      </c>
      <c r="E153" s="48"/>
      <c r="F153" s="49">
        <v>52744.2</v>
      </c>
      <c r="G153" s="39">
        <f t="shared" si="46"/>
        <v>35070.275070259799</v>
      </c>
      <c r="H153" s="39">
        <f t="shared" si="46"/>
        <v>6252.1627045031428</v>
      </c>
      <c r="I153" s="39">
        <f t="shared" si="46"/>
        <v>4963.8433462669764</v>
      </c>
      <c r="J153" s="39">
        <f t="shared" si="46"/>
        <v>2113.7587402921899</v>
      </c>
      <c r="K153" s="39">
        <f t="shared" si="46"/>
        <v>1862.629793555067</v>
      </c>
      <c r="L153" s="39">
        <f t="shared" si="46"/>
        <v>21.240486102670751</v>
      </c>
      <c r="M153" s="39">
        <f t="shared" si="46"/>
        <v>460.76718546509454</v>
      </c>
      <c r="N153" s="39">
        <f t="shared" si="46"/>
        <v>634.18256529725943</v>
      </c>
      <c r="O153" s="39">
        <f t="shared" si="46"/>
        <v>241.68901694500363</v>
      </c>
      <c r="P153" s="39">
        <f t="shared" si="46"/>
        <v>83.504604579257091</v>
      </c>
      <c r="Q153" s="39">
        <f t="shared" si="46"/>
        <v>1023.961656822574</v>
      </c>
      <c r="R153" s="39">
        <f t="shared" si="46"/>
        <v>16.18482991095474</v>
      </c>
      <c r="T153" s="97">
        <f t="shared" si="33"/>
        <v>0</v>
      </c>
    </row>
    <row r="154" spans="1:20" x14ac:dyDescent="0.25">
      <c r="A154" s="22" t="s">
        <v>434</v>
      </c>
      <c r="B154" s="16" t="s">
        <v>435</v>
      </c>
      <c r="C154" s="16" t="s">
        <v>152</v>
      </c>
      <c r="D154" s="19">
        <v>70</v>
      </c>
      <c r="E154" s="48"/>
      <c r="F154" s="49">
        <v>15331.973602</v>
      </c>
      <c r="G154" s="39">
        <f t="shared" si="46"/>
        <v>9334.1835477437326</v>
      </c>
      <c r="H154" s="39">
        <f t="shared" si="46"/>
        <v>1855.2684234585126</v>
      </c>
      <c r="I154" s="39">
        <f t="shared" si="46"/>
        <v>1684.0020661974229</v>
      </c>
      <c r="J154" s="39">
        <f t="shared" si="46"/>
        <v>957.90723551836334</v>
      </c>
      <c r="K154" s="39">
        <f t="shared" si="46"/>
        <v>715.58322046903368</v>
      </c>
      <c r="L154" s="39">
        <f t="shared" si="46"/>
        <v>3.7538172580065599</v>
      </c>
      <c r="M154" s="39">
        <f t="shared" si="46"/>
        <v>90.237414410101707</v>
      </c>
      <c r="N154" s="39">
        <f t="shared" si="46"/>
        <v>93.409789450034083</v>
      </c>
      <c r="O154" s="39">
        <f t="shared" si="46"/>
        <v>239.79629825161632</v>
      </c>
      <c r="P154" s="39">
        <f t="shared" si="46"/>
        <v>143.14195381975887</v>
      </c>
      <c r="Q154" s="39">
        <f t="shared" si="46"/>
        <v>210.29955336967544</v>
      </c>
      <c r="R154" s="39">
        <f t="shared" si="46"/>
        <v>4.3902820537450848</v>
      </c>
      <c r="T154" s="97">
        <f t="shared" si="33"/>
        <v>0</v>
      </c>
    </row>
    <row r="155" spans="1:20" x14ac:dyDescent="0.25">
      <c r="A155" s="22">
        <v>403.08</v>
      </c>
      <c r="B155" s="16" t="s">
        <v>436</v>
      </c>
      <c r="C155" s="16" t="s">
        <v>148</v>
      </c>
      <c r="D155" s="19">
        <v>68</v>
      </c>
      <c r="E155" s="48"/>
      <c r="F155" s="49">
        <v>0</v>
      </c>
      <c r="G155" s="39">
        <f t="shared" si="46"/>
        <v>0</v>
      </c>
      <c r="H155" s="39">
        <f t="shared" si="46"/>
        <v>0</v>
      </c>
      <c r="I155" s="39">
        <f t="shared" si="46"/>
        <v>0</v>
      </c>
      <c r="J155" s="39">
        <f t="shared" si="46"/>
        <v>0</v>
      </c>
      <c r="K155" s="39">
        <f t="shared" si="46"/>
        <v>0</v>
      </c>
      <c r="L155" s="39">
        <f t="shared" si="46"/>
        <v>0</v>
      </c>
      <c r="M155" s="39">
        <f t="shared" si="46"/>
        <v>0</v>
      </c>
      <c r="N155" s="39">
        <f t="shared" si="46"/>
        <v>0</v>
      </c>
      <c r="O155" s="39">
        <f t="shared" si="46"/>
        <v>0</v>
      </c>
      <c r="P155" s="39">
        <f t="shared" si="46"/>
        <v>0</v>
      </c>
      <c r="Q155" s="39">
        <f t="shared" si="46"/>
        <v>0</v>
      </c>
      <c r="R155" s="39">
        <f t="shared" si="46"/>
        <v>0</v>
      </c>
      <c r="T155" s="97">
        <f t="shared" ref="T155:T191" si="47">F155-SUM(G155:R155)</f>
        <v>0</v>
      </c>
    </row>
    <row r="156" spans="1:20" x14ac:dyDescent="0.25">
      <c r="A156" s="22">
        <v>404</v>
      </c>
      <c r="B156" s="16" t="s">
        <v>437</v>
      </c>
      <c r="C156" s="16" t="s">
        <v>158</v>
      </c>
      <c r="D156" s="19">
        <v>73</v>
      </c>
      <c r="E156" s="48"/>
      <c r="F156" s="49">
        <v>1210780.8199999998</v>
      </c>
      <c r="G156" s="39">
        <f t="shared" si="46"/>
        <v>638199.31491606322</v>
      </c>
      <c r="H156" s="39">
        <f t="shared" si="46"/>
        <v>160351.17403260051</v>
      </c>
      <c r="I156" s="39">
        <f t="shared" si="46"/>
        <v>177583.63026633789</v>
      </c>
      <c r="J156" s="39">
        <f t="shared" si="46"/>
        <v>112332.81704531016</v>
      </c>
      <c r="K156" s="39">
        <f t="shared" si="46"/>
        <v>78261.109875883049</v>
      </c>
      <c r="L156" s="39">
        <f t="shared" si="46"/>
        <v>225.14335386471998</v>
      </c>
      <c r="M156" s="39">
        <f t="shared" si="46"/>
        <v>6207.211579136987</v>
      </c>
      <c r="N156" s="39">
        <f t="shared" si="46"/>
        <v>0</v>
      </c>
      <c r="O156" s="39">
        <f t="shared" si="46"/>
        <v>33219.011832913886</v>
      </c>
      <c r="P156" s="39">
        <f t="shared" si="46"/>
        <v>0</v>
      </c>
      <c r="Q156" s="39">
        <f t="shared" si="46"/>
        <v>3989.0358955017514</v>
      </c>
      <c r="R156" s="39">
        <f t="shared" si="46"/>
        <v>412.37120238777345</v>
      </c>
      <c r="T156" s="97">
        <f t="shared" si="47"/>
        <v>0</v>
      </c>
    </row>
    <row r="157" spans="1:20" x14ac:dyDescent="0.25">
      <c r="A157" s="22">
        <v>404.01</v>
      </c>
      <c r="B157" s="16" t="s">
        <v>438</v>
      </c>
      <c r="C157" s="16" t="s">
        <v>186</v>
      </c>
      <c r="E157" s="48"/>
      <c r="F157" s="49">
        <v>0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T157" s="97">
        <f t="shared" si="47"/>
        <v>0</v>
      </c>
    </row>
    <row r="158" spans="1:20" x14ac:dyDescent="0.25">
      <c r="A158" s="22">
        <v>404.02</v>
      </c>
      <c r="B158" s="16" t="s">
        <v>439</v>
      </c>
      <c r="C158" s="16" t="s">
        <v>152</v>
      </c>
      <c r="D158" s="19">
        <v>70</v>
      </c>
      <c r="E158" s="48"/>
      <c r="F158" s="49">
        <v>77938784.204467431</v>
      </c>
      <c r="G158" s="39">
        <f t="shared" ref="G158:R159" si="48">INDEX(Alloc,($D158),(G$1))*$F158</f>
        <v>47449528.425850533</v>
      </c>
      <c r="H158" s="39">
        <f t="shared" si="48"/>
        <v>9431099.2864241116</v>
      </c>
      <c r="I158" s="39">
        <f t="shared" si="48"/>
        <v>8560481.3212121129</v>
      </c>
      <c r="J158" s="39">
        <f t="shared" si="48"/>
        <v>4869439.9856796516</v>
      </c>
      <c r="K158" s="39">
        <f t="shared" si="48"/>
        <v>3637606.4587796219</v>
      </c>
      <c r="L158" s="39">
        <f t="shared" si="48"/>
        <v>19082.210862704229</v>
      </c>
      <c r="M158" s="39">
        <f t="shared" si="48"/>
        <v>458714.22371615539</v>
      </c>
      <c r="N158" s="39">
        <f t="shared" si="48"/>
        <v>474840.72250041331</v>
      </c>
      <c r="O158" s="39">
        <f t="shared" si="48"/>
        <v>1218984.0934780156</v>
      </c>
      <c r="P158" s="39">
        <f t="shared" si="48"/>
        <v>727649.95159584202</v>
      </c>
      <c r="Q158" s="39">
        <f t="shared" si="48"/>
        <v>1069039.8988318723</v>
      </c>
      <c r="R158" s="39">
        <f t="shared" si="48"/>
        <v>22317.625536411633</v>
      </c>
      <c r="T158" s="97">
        <f t="shared" si="47"/>
        <v>0</v>
      </c>
    </row>
    <row r="159" spans="1:20" x14ac:dyDescent="0.25">
      <c r="A159" s="22">
        <v>405</v>
      </c>
      <c r="B159" s="16" t="s">
        <v>440</v>
      </c>
      <c r="C159" s="16" t="s">
        <v>162</v>
      </c>
      <c r="D159" s="19">
        <v>75</v>
      </c>
      <c r="E159" s="48"/>
      <c r="F159" s="49">
        <v>2500924.8299999996</v>
      </c>
      <c r="G159" s="39">
        <f t="shared" si="48"/>
        <v>1446376.0980899073</v>
      </c>
      <c r="H159" s="39">
        <f t="shared" si="48"/>
        <v>312665.6710277393</v>
      </c>
      <c r="I159" s="39">
        <f t="shared" si="48"/>
        <v>307406.61176838452</v>
      </c>
      <c r="J159" s="39">
        <f t="shared" si="48"/>
        <v>174099.0668786928</v>
      </c>
      <c r="K159" s="39">
        <f t="shared" si="48"/>
        <v>129024.24341447573</v>
      </c>
      <c r="L159" s="39">
        <f t="shared" si="48"/>
        <v>685.86112363780194</v>
      </c>
      <c r="M159" s="39">
        <f t="shared" si="48"/>
        <v>16434.694441577973</v>
      </c>
      <c r="N159" s="39">
        <f t="shared" si="48"/>
        <v>17021.715353724932</v>
      </c>
      <c r="O159" s="39">
        <f t="shared" si="48"/>
        <v>43881.100468316094</v>
      </c>
      <c r="P159" s="39">
        <f t="shared" si="48"/>
        <v>27532.398740159726</v>
      </c>
      <c r="Q159" s="39">
        <f t="shared" si="48"/>
        <v>24991.163216948866</v>
      </c>
      <c r="R159" s="39">
        <f t="shared" si="48"/>
        <v>806.20547643490454</v>
      </c>
      <c r="T159" s="97">
        <f t="shared" si="47"/>
        <v>0</v>
      </c>
    </row>
    <row r="160" spans="1:20" s="62" customFormat="1" x14ac:dyDescent="0.25">
      <c r="A160" s="22">
        <v>406</v>
      </c>
      <c r="B160" s="16" t="s">
        <v>441</v>
      </c>
      <c r="C160" s="16" t="s">
        <v>186</v>
      </c>
      <c r="E160" s="63">
        <v>25800</v>
      </c>
      <c r="F160" s="49"/>
      <c r="G160" s="65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T160" s="97">
        <f t="shared" si="47"/>
        <v>0</v>
      </c>
    </row>
    <row r="161" spans="1:20" s="62" customFormat="1" x14ac:dyDescent="0.25">
      <c r="A161" s="22"/>
      <c r="B161" s="20" t="s">
        <v>322</v>
      </c>
      <c r="C161" s="16"/>
      <c r="D161" s="62">
        <v>30</v>
      </c>
      <c r="E161" s="64">
        <v>0.11</v>
      </c>
      <c r="F161" s="49">
        <f>E160*E161</f>
        <v>2838</v>
      </c>
      <c r="G161" s="65">
        <f t="shared" ref="G161:R162" si="49">INDEX(Alloc,($D161),(G$1))*$F161</f>
        <v>1636.7460501944706</v>
      </c>
      <c r="H161" s="65">
        <f t="shared" si="49"/>
        <v>377.35669979191528</v>
      </c>
      <c r="I161" s="65">
        <f t="shared" si="49"/>
        <v>403.89921844162473</v>
      </c>
      <c r="J161" s="65">
        <f t="shared" si="49"/>
        <v>212.21586001041848</v>
      </c>
      <c r="K161" s="65">
        <f t="shared" si="49"/>
        <v>149.91408503812599</v>
      </c>
      <c r="L161" s="65">
        <f t="shared" si="49"/>
        <v>5.1232096184463723E-3</v>
      </c>
      <c r="M161" s="65">
        <f t="shared" si="49"/>
        <v>0</v>
      </c>
      <c r="N161" s="65">
        <f t="shared" si="49"/>
        <v>0</v>
      </c>
      <c r="O161" s="65">
        <f t="shared" si="49"/>
        <v>50.919474987471517</v>
      </c>
      <c r="P161" s="65">
        <f t="shared" si="49"/>
        <v>0</v>
      </c>
      <c r="Q161" s="65">
        <f t="shared" si="49"/>
        <v>5.8981147685172157</v>
      </c>
      <c r="R161" s="65">
        <f t="shared" si="49"/>
        <v>1.0453735578378029</v>
      </c>
      <c r="T161" s="97">
        <f t="shared" si="47"/>
        <v>0</v>
      </c>
    </row>
    <row r="162" spans="1:20" s="62" customFormat="1" x14ac:dyDescent="0.25">
      <c r="A162" s="22"/>
      <c r="B162" s="20" t="s">
        <v>323</v>
      </c>
      <c r="C162" s="16"/>
      <c r="D162" s="62">
        <v>52</v>
      </c>
      <c r="E162" s="64">
        <v>0.89</v>
      </c>
      <c r="F162" s="49">
        <f>E160*E162</f>
        <v>22962</v>
      </c>
      <c r="G162" s="65">
        <f t="shared" si="49"/>
        <v>11962.364583912233</v>
      </c>
      <c r="H162" s="65">
        <f t="shared" si="49"/>
        <v>3039.4964760298608</v>
      </c>
      <c r="I162" s="65">
        <f t="shared" si="49"/>
        <v>3380.1528454748814</v>
      </c>
      <c r="J162" s="65">
        <f t="shared" si="49"/>
        <v>2181.4351062883402</v>
      </c>
      <c r="K162" s="65">
        <f t="shared" si="49"/>
        <v>1517.7177451372008</v>
      </c>
      <c r="L162" s="65">
        <f t="shared" si="49"/>
        <v>4.7923582451255911</v>
      </c>
      <c r="M162" s="65">
        <f t="shared" si="49"/>
        <v>132.26676215579161</v>
      </c>
      <c r="N162" s="65">
        <f t="shared" si="49"/>
        <v>0</v>
      </c>
      <c r="O162" s="65">
        <f t="shared" si="49"/>
        <v>656.9299484029475</v>
      </c>
      <c r="P162" s="65">
        <f t="shared" si="49"/>
        <v>0</v>
      </c>
      <c r="Q162" s="65">
        <f t="shared" si="49"/>
        <v>79.102509955572174</v>
      </c>
      <c r="R162" s="65">
        <f t="shared" si="49"/>
        <v>7.7416643980529756</v>
      </c>
      <c r="T162" s="97">
        <f t="shared" si="47"/>
        <v>0</v>
      </c>
    </row>
    <row r="163" spans="1:20" s="62" customFormat="1" x14ac:dyDescent="0.25">
      <c r="A163" s="22">
        <v>406.01</v>
      </c>
      <c r="B163" s="16" t="s">
        <v>442</v>
      </c>
      <c r="C163" s="16" t="s">
        <v>148</v>
      </c>
      <c r="D163" s="62">
        <v>68</v>
      </c>
      <c r="E163" s="63"/>
      <c r="F163" s="49">
        <v>0</v>
      </c>
      <c r="G163" s="65">
        <f>INDEX(Alloc,($D163),(G$1))*$F163</f>
        <v>0</v>
      </c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T163" s="97">
        <f t="shared" si="47"/>
        <v>0</v>
      </c>
    </row>
    <row r="164" spans="1:20" s="62" customFormat="1" x14ac:dyDescent="0.25">
      <c r="A164" s="22">
        <v>406.02</v>
      </c>
      <c r="B164" s="16" t="s">
        <v>443</v>
      </c>
      <c r="C164" s="16" t="s">
        <v>186</v>
      </c>
      <c r="E164" s="49">
        <v>715282.68</v>
      </c>
      <c r="F164" s="49"/>
      <c r="G164" s="65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T164" s="97">
        <f t="shared" si="47"/>
        <v>0</v>
      </c>
    </row>
    <row r="165" spans="1:20" s="62" customFormat="1" x14ac:dyDescent="0.25">
      <c r="A165" s="22"/>
      <c r="B165" s="20" t="s">
        <v>322</v>
      </c>
      <c r="C165" s="16"/>
      <c r="D165" s="62">
        <v>30</v>
      </c>
      <c r="E165" s="64">
        <v>0.11</v>
      </c>
      <c r="F165" s="49">
        <f>E164*E165</f>
        <v>78681.094800000006</v>
      </c>
      <c r="G165" s="65">
        <f t="shared" ref="G165:R173" si="50">INDEX(Alloc,($D165),(G$1))*$F165</f>
        <v>45377.368265988975</v>
      </c>
      <c r="H165" s="65">
        <f t="shared" si="50"/>
        <v>10461.888044306846</v>
      </c>
      <c r="I165" s="65">
        <f t="shared" si="50"/>
        <v>11197.75641150507</v>
      </c>
      <c r="J165" s="65">
        <f t="shared" si="50"/>
        <v>5883.5011273936816</v>
      </c>
      <c r="K165" s="65">
        <f t="shared" si="50"/>
        <v>4156.2383145666145</v>
      </c>
      <c r="L165" s="65">
        <f t="shared" si="50"/>
        <v>0.14203655449938368</v>
      </c>
      <c r="M165" s="65">
        <f t="shared" si="50"/>
        <v>0</v>
      </c>
      <c r="N165" s="65">
        <f t="shared" si="50"/>
        <v>0</v>
      </c>
      <c r="O165" s="65">
        <f t="shared" si="50"/>
        <v>1411.6983927609147</v>
      </c>
      <c r="P165" s="65">
        <f t="shared" si="50"/>
        <v>0</v>
      </c>
      <c r="Q165" s="65">
        <f t="shared" si="50"/>
        <v>163.52012940203775</v>
      </c>
      <c r="R165" s="65">
        <f t="shared" si="50"/>
        <v>28.982077521370492</v>
      </c>
      <c r="T165" s="97">
        <f t="shared" si="47"/>
        <v>0</v>
      </c>
    </row>
    <row r="166" spans="1:20" s="62" customFormat="1" x14ac:dyDescent="0.25">
      <c r="A166" s="22"/>
      <c r="B166" s="20" t="s">
        <v>323</v>
      </c>
      <c r="C166" s="16"/>
      <c r="D166" s="62">
        <v>52</v>
      </c>
      <c r="E166" s="64">
        <v>0.89</v>
      </c>
      <c r="F166" s="49">
        <f>E164*E166</f>
        <v>636601.58520000009</v>
      </c>
      <c r="G166" s="65">
        <f t="shared" si="50"/>
        <v>331646.20925262896</v>
      </c>
      <c r="H166" s="65">
        <f t="shared" si="50"/>
        <v>84267.410280046315</v>
      </c>
      <c r="I166" s="65">
        <f t="shared" si="50"/>
        <v>93711.813415538738</v>
      </c>
      <c r="J166" s="65">
        <f t="shared" si="50"/>
        <v>60478.401126822064</v>
      </c>
      <c r="K166" s="65">
        <f t="shared" si="50"/>
        <v>42077.411481600546</v>
      </c>
      <c r="L166" s="65">
        <f t="shared" si="50"/>
        <v>132.86398639897402</v>
      </c>
      <c r="M166" s="65">
        <f t="shared" si="50"/>
        <v>3666.9815546402019</v>
      </c>
      <c r="N166" s="65">
        <f t="shared" si="50"/>
        <v>0</v>
      </c>
      <c r="O166" s="65">
        <f t="shared" si="50"/>
        <v>18212.814498679152</v>
      </c>
      <c r="P166" s="65">
        <f t="shared" si="50"/>
        <v>0</v>
      </c>
      <c r="Q166" s="65">
        <f t="shared" si="50"/>
        <v>2193.048655649161</v>
      </c>
      <c r="R166" s="65">
        <f t="shared" si="50"/>
        <v>214.63094799612091</v>
      </c>
      <c r="T166" s="97">
        <f t="shared" si="47"/>
        <v>0</v>
      </c>
    </row>
    <row r="167" spans="1:20" x14ac:dyDescent="0.25">
      <c r="A167" s="22">
        <v>406.03</v>
      </c>
      <c r="B167" s="16" t="s">
        <v>444</v>
      </c>
      <c r="C167" s="16" t="s">
        <v>158</v>
      </c>
      <c r="D167" s="19">
        <v>73</v>
      </c>
      <c r="E167" s="48"/>
      <c r="F167" s="49">
        <v>8414393.160000002</v>
      </c>
      <c r="G167" s="39">
        <f t="shared" si="50"/>
        <v>4435204.0116942143</v>
      </c>
      <c r="H167" s="39">
        <f t="shared" si="50"/>
        <v>1114369.9996650787</v>
      </c>
      <c r="I167" s="39">
        <f t="shared" si="50"/>
        <v>1234127.9768877104</v>
      </c>
      <c r="J167" s="39">
        <f t="shared" si="50"/>
        <v>780663.57822680869</v>
      </c>
      <c r="K167" s="39">
        <f t="shared" si="50"/>
        <v>543880.2273343238</v>
      </c>
      <c r="L167" s="39">
        <f t="shared" si="50"/>
        <v>1564.6470983730649</v>
      </c>
      <c r="M167" s="39">
        <f t="shared" si="50"/>
        <v>43137.385223993784</v>
      </c>
      <c r="N167" s="39">
        <f t="shared" si="50"/>
        <v>0</v>
      </c>
      <c r="O167" s="39">
        <f t="shared" si="50"/>
        <v>230857.494049856</v>
      </c>
      <c r="P167" s="39">
        <f t="shared" si="50"/>
        <v>0</v>
      </c>
      <c r="Q167" s="39">
        <f t="shared" si="50"/>
        <v>27722.041677290879</v>
      </c>
      <c r="R167" s="39">
        <f t="shared" si="50"/>
        <v>2865.7981423530132</v>
      </c>
      <c r="T167" s="97">
        <f t="shared" si="47"/>
        <v>0</v>
      </c>
    </row>
    <row r="168" spans="1:20" x14ac:dyDescent="0.25">
      <c r="A168" s="22">
        <v>407</v>
      </c>
      <c r="B168" s="16" t="s">
        <v>445</v>
      </c>
      <c r="C168" s="16" t="s">
        <v>158</v>
      </c>
      <c r="D168" s="19">
        <v>73</v>
      </c>
      <c r="E168" s="48"/>
      <c r="F168" s="49">
        <v>10322245.039999999</v>
      </c>
      <c r="G168" s="39">
        <f t="shared" si="50"/>
        <v>5440827.608190665</v>
      </c>
      <c r="H168" s="39">
        <f t="shared" si="50"/>
        <v>1367038.5948269211</v>
      </c>
      <c r="I168" s="39">
        <f t="shared" si="50"/>
        <v>1513950.1026303838</v>
      </c>
      <c r="J168" s="39">
        <f t="shared" si="50"/>
        <v>957668.67497552559</v>
      </c>
      <c r="K168" s="39">
        <f t="shared" si="50"/>
        <v>667197.84447958868</v>
      </c>
      <c r="L168" s="39">
        <f t="shared" si="50"/>
        <v>1919.4100446016901</v>
      </c>
      <c r="M168" s="39">
        <f t="shared" si="50"/>
        <v>52918.214326336398</v>
      </c>
      <c r="N168" s="39">
        <f t="shared" si="50"/>
        <v>0</v>
      </c>
      <c r="O168" s="39">
        <f t="shared" si="50"/>
        <v>283201.36432785308</v>
      </c>
      <c r="P168" s="39">
        <f t="shared" si="50"/>
        <v>0</v>
      </c>
      <c r="Q168" s="39">
        <f t="shared" si="50"/>
        <v>34007.646393609801</v>
      </c>
      <c r="R168" s="39">
        <f t="shared" si="50"/>
        <v>3515.5798045149336</v>
      </c>
      <c r="T168" s="97">
        <f t="shared" si="47"/>
        <v>0</v>
      </c>
    </row>
    <row r="169" spans="1:20" x14ac:dyDescent="0.25">
      <c r="A169" s="22">
        <v>407.01</v>
      </c>
      <c r="B169" s="16" t="s">
        <v>446</v>
      </c>
      <c r="C169" s="16" t="s">
        <v>172</v>
      </c>
      <c r="D169" s="19">
        <v>80</v>
      </c>
      <c r="E169" s="48"/>
      <c r="F169" s="49">
        <v>32828154.283406239</v>
      </c>
      <c r="G169" s="39">
        <f t="shared" si="50"/>
        <v>20198404.662394233</v>
      </c>
      <c r="H169" s="39">
        <f t="shared" si="50"/>
        <v>3928657.411942333</v>
      </c>
      <c r="I169" s="39">
        <f t="shared" si="50"/>
        <v>3473013.562636056</v>
      </c>
      <c r="J169" s="39">
        <f t="shared" si="50"/>
        <v>1737086.0202150387</v>
      </c>
      <c r="K169" s="39">
        <f t="shared" si="50"/>
        <v>1384856.4145011271</v>
      </c>
      <c r="L169" s="39">
        <f t="shared" si="50"/>
        <v>11092.560559736185</v>
      </c>
      <c r="M169" s="39">
        <f t="shared" si="50"/>
        <v>249923.42071311609</v>
      </c>
      <c r="N169" s="39">
        <f t="shared" si="50"/>
        <v>384516.49533341121</v>
      </c>
      <c r="O169" s="39">
        <f t="shared" si="50"/>
        <v>341931.32981774834</v>
      </c>
      <c r="P169" s="39">
        <f t="shared" si="50"/>
        <v>621950.32942855079</v>
      </c>
      <c r="Q169" s="39">
        <f t="shared" si="50"/>
        <v>486570.7092229274</v>
      </c>
      <c r="R169" s="39">
        <f t="shared" si="50"/>
        <v>10151.36664196253</v>
      </c>
      <c r="T169" s="97">
        <f t="shared" si="47"/>
        <v>0</v>
      </c>
    </row>
    <row r="170" spans="1:20" x14ac:dyDescent="0.25">
      <c r="A170" s="22">
        <v>407.02</v>
      </c>
      <c r="B170" s="16" t="s">
        <v>447</v>
      </c>
      <c r="C170" s="16" t="s">
        <v>158</v>
      </c>
      <c r="D170" s="19">
        <v>73</v>
      </c>
      <c r="E170" s="48"/>
      <c r="F170" s="49">
        <v>17023692.917146448</v>
      </c>
      <c r="G170" s="39">
        <f t="shared" si="50"/>
        <v>8973142.766718341</v>
      </c>
      <c r="H170" s="39">
        <f t="shared" si="50"/>
        <v>2254552.6824870738</v>
      </c>
      <c r="I170" s="39">
        <f t="shared" si="50"/>
        <v>2496842.6480080932</v>
      </c>
      <c r="J170" s="39">
        <f t="shared" si="50"/>
        <v>1579410.0388023611</v>
      </c>
      <c r="K170" s="39">
        <f t="shared" si="50"/>
        <v>1100358.6114637083</v>
      </c>
      <c r="L170" s="39">
        <f t="shared" si="50"/>
        <v>3165.5368628398251</v>
      </c>
      <c r="M170" s="39">
        <f t="shared" si="50"/>
        <v>87273.982251373745</v>
      </c>
      <c r="N170" s="39">
        <f t="shared" si="50"/>
        <v>0</v>
      </c>
      <c r="O170" s="39">
        <f t="shared" si="50"/>
        <v>467062.45020843676</v>
      </c>
      <c r="P170" s="39">
        <f t="shared" si="50"/>
        <v>0</v>
      </c>
      <c r="Q170" s="39">
        <f t="shared" si="50"/>
        <v>56086.222211957494</v>
      </c>
      <c r="R170" s="39">
        <f t="shared" si="50"/>
        <v>5797.9781322633644</v>
      </c>
      <c r="T170" s="97">
        <f t="shared" si="47"/>
        <v>0</v>
      </c>
    </row>
    <row r="171" spans="1:20" x14ac:dyDescent="0.25">
      <c r="A171" s="22">
        <v>411</v>
      </c>
      <c r="B171" s="16" t="s">
        <v>448</v>
      </c>
      <c r="C171" s="16" t="s">
        <v>158</v>
      </c>
      <c r="D171" s="19">
        <v>73</v>
      </c>
      <c r="E171" s="48"/>
      <c r="F171" s="49">
        <v>3537694.08</v>
      </c>
      <c r="G171" s="39">
        <f t="shared" si="50"/>
        <v>1864709.038121873</v>
      </c>
      <c r="H171" s="39">
        <f t="shared" si="50"/>
        <v>468518.6531912362</v>
      </c>
      <c r="I171" s="39">
        <f t="shared" si="50"/>
        <v>518868.93740035663</v>
      </c>
      <c r="J171" s="39">
        <f t="shared" si="50"/>
        <v>328217.24236672081</v>
      </c>
      <c r="K171" s="39">
        <f t="shared" si="50"/>
        <v>228665.55245080692</v>
      </c>
      <c r="L171" s="39">
        <f t="shared" si="50"/>
        <v>657.83030005262651</v>
      </c>
      <c r="M171" s="39">
        <f t="shared" si="50"/>
        <v>18136.408583694258</v>
      </c>
      <c r="N171" s="39">
        <f t="shared" si="50"/>
        <v>0</v>
      </c>
      <c r="O171" s="39">
        <f t="shared" si="50"/>
        <v>97060.260258127833</v>
      </c>
      <c r="P171" s="39">
        <f t="shared" si="50"/>
        <v>0</v>
      </c>
      <c r="Q171" s="39">
        <f t="shared" si="50"/>
        <v>11655.279336539248</v>
      </c>
      <c r="R171" s="39">
        <f t="shared" si="50"/>
        <v>1204.8779905926394</v>
      </c>
      <c r="T171" s="97">
        <f t="shared" si="47"/>
        <v>0</v>
      </c>
    </row>
    <row r="172" spans="1:20" x14ac:dyDescent="0.25">
      <c r="A172" s="22">
        <v>411.01</v>
      </c>
      <c r="B172" s="16" t="s">
        <v>449</v>
      </c>
      <c r="C172" s="16" t="s">
        <v>162</v>
      </c>
      <c r="D172" s="19">
        <v>75</v>
      </c>
      <c r="E172" s="48"/>
      <c r="F172" s="49">
        <v>-4297707.3533333335</v>
      </c>
      <c r="G172" s="39">
        <f t="shared" si="50"/>
        <v>-2485521.0032228641</v>
      </c>
      <c r="H172" s="39">
        <f t="shared" si="50"/>
        <v>-537299.45714154735</v>
      </c>
      <c r="I172" s="39">
        <f t="shared" si="50"/>
        <v>-528262.0413106425</v>
      </c>
      <c r="J172" s="39">
        <f t="shared" si="50"/>
        <v>-299180.05969536881</v>
      </c>
      <c r="K172" s="39">
        <f t="shared" si="50"/>
        <v>-221721.35404831913</v>
      </c>
      <c r="L172" s="39">
        <f t="shared" si="50"/>
        <v>-1178.6161499398781</v>
      </c>
      <c r="M172" s="39">
        <f t="shared" si="50"/>
        <v>-28242.155183591076</v>
      </c>
      <c r="N172" s="39">
        <f t="shared" si="50"/>
        <v>-29250.919645613885</v>
      </c>
      <c r="O172" s="39">
        <f t="shared" si="50"/>
        <v>-75407.355668119344</v>
      </c>
      <c r="P172" s="39">
        <f t="shared" si="50"/>
        <v>-47312.974424940985</v>
      </c>
      <c r="Q172" s="39">
        <f t="shared" si="50"/>
        <v>-42945.995272410757</v>
      </c>
      <c r="R172" s="39">
        <f t="shared" si="50"/>
        <v>-1385.4215699765327</v>
      </c>
      <c r="T172" s="97">
        <f t="shared" si="47"/>
        <v>0</v>
      </c>
    </row>
    <row r="173" spans="1:20" x14ac:dyDescent="0.25">
      <c r="A173" s="22">
        <v>411.02</v>
      </c>
      <c r="B173" s="16" t="s">
        <v>450</v>
      </c>
      <c r="C173" s="16" t="s">
        <v>162</v>
      </c>
      <c r="D173" s="19">
        <v>75</v>
      </c>
      <c r="E173" s="48"/>
      <c r="F173" s="49">
        <v>-4419.1099999999997</v>
      </c>
      <c r="G173" s="39">
        <f t="shared" si="50"/>
        <v>-2555.7325842656737</v>
      </c>
      <c r="H173" s="39">
        <f t="shared" si="50"/>
        <v>-552.47721839580174</v>
      </c>
      <c r="I173" s="39">
        <f t="shared" si="50"/>
        <v>-543.18451151999875</v>
      </c>
      <c r="J173" s="39">
        <f t="shared" si="50"/>
        <v>-307.63136828638716</v>
      </c>
      <c r="K173" s="39">
        <f t="shared" si="50"/>
        <v>-227.98459093044548</v>
      </c>
      <c r="L173" s="39">
        <f t="shared" si="50"/>
        <v>-1.2119099757504697</v>
      </c>
      <c r="M173" s="39">
        <f t="shared" si="50"/>
        <v>-29.039946216105044</v>
      </c>
      <c r="N173" s="39">
        <f t="shared" si="50"/>
        <v>-30.077206493567182</v>
      </c>
      <c r="O173" s="39">
        <f t="shared" si="50"/>
        <v>-77.537480361031228</v>
      </c>
      <c r="P173" s="39">
        <f t="shared" si="50"/>
        <v>-48.649482438313534</v>
      </c>
      <c r="Q173" s="39">
        <f t="shared" si="50"/>
        <v>-44.159143833063908</v>
      </c>
      <c r="R173" s="39">
        <f t="shared" si="50"/>
        <v>-1.4245572838621667</v>
      </c>
      <c r="T173" s="97">
        <f t="shared" si="47"/>
        <v>0</v>
      </c>
    </row>
    <row r="174" spans="1:20" x14ac:dyDescent="0.25">
      <c r="A174" s="25"/>
      <c r="B174" s="24" t="s">
        <v>451</v>
      </c>
      <c r="C174" s="24"/>
      <c r="D174" s="54"/>
      <c r="E174" s="50"/>
      <c r="F174" s="50">
        <f>SUM(F125:F173)</f>
        <v>497013983.85999936</v>
      </c>
      <c r="G174" s="50">
        <f t="shared" ref="G174:R174" si="51">SUM(G125:G173)</f>
        <v>292539488.34823555</v>
      </c>
      <c r="H174" s="50">
        <f t="shared" si="51"/>
        <v>62461323.068208694</v>
      </c>
      <c r="I174" s="50">
        <f t="shared" si="51"/>
        <v>59054340.242286429</v>
      </c>
      <c r="J174" s="50">
        <f t="shared" si="51"/>
        <v>33384332.073589697</v>
      </c>
      <c r="K174" s="50">
        <f t="shared" si="51"/>
        <v>25249158.051293474</v>
      </c>
      <c r="L174" s="50">
        <f t="shared" si="51"/>
        <v>132037.75274461042</v>
      </c>
      <c r="M174" s="50">
        <f t="shared" si="51"/>
        <v>3290929.7685280009</v>
      </c>
      <c r="N174" s="50">
        <f t="shared" si="51"/>
        <v>2036487.7888368422</v>
      </c>
      <c r="O174" s="50">
        <f t="shared" si="51"/>
        <v>8304467.6075822469</v>
      </c>
      <c r="P174" s="50">
        <f t="shared" si="51"/>
        <v>4169760.0987597466</v>
      </c>
      <c r="Q174" s="50">
        <f t="shared" si="51"/>
        <v>6236203.6932173595</v>
      </c>
      <c r="R174" s="50">
        <f t="shared" si="51"/>
        <v>155455.36671685742</v>
      </c>
      <c r="T174" s="97">
        <f t="shared" si="47"/>
        <v>0</v>
      </c>
    </row>
    <row r="175" spans="1:20" x14ac:dyDescent="0.25">
      <c r="A175" s="22"/>
      <c r="B175" s="16"/>
      <c r="C175" s="16"/>
      <c r="E175" s="48"/>
      <c r="F175" s="49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T175" s="97">
        <f t="shared" si="47"/>
        <v>0</v>
      </c>
    </row>
    <row r="176" spans="1:20" x14ac:dyDescent="0.25">
      <c r="A176" s="22"/>
      <c r="B176" s="20" t="s">
        <v>452</v>
      </c>
      <c r="C176" s="16"/>
      <c r="E176" s="48"/>
      <c r="F176" s="49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T176" s="97">
        <f t="shared" si="47"/>
        <v>0</v>
      </c>
    </row>
    <row r="177" spans="1:20" x14ac:dyDescent="0.25">
      <c r="A177" s="22">
        <v>236</v>
      </c>
      <c r="B177" s="16" t="s">
        <v>453</v>
      </c>
      <c r="C177" s="16" t="s">
        <v>160</v>
      </c>
      <c r="D177" s="19">
        <v>74</v>
      </c>
      <c r="E177" s="48"/>
      <c r="F177" s="49">
        <v>1.6871670037508011</v>
      </c>
      <c r="G177" s="65">
        <f t="shared" ref="G177:R179" si="52">INDEX(Alloc,($D177),(G$1))*$F177</f>
        <v>0.97843996382494758</v>
      </c>
      <c r="H177" s="65">
        <f t="shared" si="52"/>
        <v>0.2105753450376662</v>
      </c>
      <c r="I177" s="65">
        <f t="shared" si="52"/>
        <v>0.20622701327855739</v>
      </c>
      <c r="J177" s="65">
        <f t="shared" si="52"/>
        <v>0.11682026741869447</v>
      </c>
      <c r="K177" s="65">
        <f t="shared" si="52"/>
        <v>8.6607826228807902E-2</v>
      </c>
      <c r="L177" s="65">
        <f t="shared" si="52"/>
        <v>4.6009772890271734E-4</v>
      </c>
      <c r="M177" s="65">
        <f t="shared" si="52"/>
        <v>1.1026580251130277E-2</v>
      </c>
      <c r="N177" s="65">
        <f t="shared" si="52"/>
        <v>1.1420139734264336E-2</v>
      </c>
      <c r="O177" s="65">
        <f t="shared" si="52"/>
        <v>2.9434717342337987E-2</v>
      </c>
      <c r="P177" s="65">
        <f t="shared" si="52"/>
        <v>1.8426166548715289E-2</v>
      </c>
      <c r="Q177" s="65">
        <f t="shared" si="52"/>
        <v>1.7188185567693526E-2</v>
      </c>
      <c r="R177" s="65">
        <f t="shared" si="52"/>
        <v>5.4070078908323492E-4</v>
      </c>
      <c r="T177" s="97">
        <f t="shared" si="47"/>
        <v>0</v>
      </c>
    </row>
    <row r="178" spans="1:20" x14ac:dyDescent="0.25">
      <c r="A178" s="22">
        <v>236.01</v>
      </c>
      <c r="B178" s="16" t="s">
        <v>454</v>
      </c>
      <c r="C178" s="16" t="s">
        <v>168</v>
      </c>
      <c r="D178" s="19">
        <v>78</v>
      </c>
      <c r="E178" s="48"/>
      <c r="F178" s="49">
        <v>7271650.778474519</v>
      </c>
      <c r="G178" s="65">
        <f t="shared" si="52"/>
        <v>4438158.6169110984</v>
      </c>
      <c r="H178" s="65">
        <f t="shared" si="52"/>
        <v>878322.48955484829</v>
      </c>
      <c r="I178" s="65">
        <f t="shared" si="52"/>
        <v>793675.66313582915</v>
      </c>
      <c r="J178" s="65">
        <f t="shared" si="52"/>
        <v>451660.99002155615</v>
      </c>
      <c r="K178" s="65">
        <f t="shared" si="52"/>
        <v>337531.27557212044</v>
      </c>
      <c r="L178" s="65">
        <f t="shared" si="52"/>
        <v>1767.9599027002607</v>
      </c>
      <c r="M178" s="65">
        <f t="shared" si="52"/>
        <v>42513.344260628881</v>
      </c>
      <c r="N178" s="65">
        <f t="shared" si="52"/>
        <v>44060.860374663142</v>
      </c>
      <c r="O178" s="65">
        <f t="shared" si="52"/>
        <v>113051.63527236506</v>
      </c>
      <c r="P178" s="65">
        <f t="shared" si="52"/>
        <v>67701.134297063138</v>
      </c>
      <c r="Q178" s="65">
        <f t="shared" si="52"/>
        <v>101138.75210783887</v>
      </c>
      <c r="R178" s="65">
        <f t="shared" si="52"/>
        <v>2068.0570638089052</v>
      </c>
      <c r="T178" s="97">
        <f t="shared" si="47"/>
        <v>0</v>
      </c>
    </row>
    <row r="179" spans="1:20" s="56" customFormat="1" x14ac:dyDescent="0.25">
      <c r="A179" s="116">
        <v>236.02</v>
      </c>
      <c r="B179" s="117" t="s">
        <v>455</v>
      </c>
      <c r="C179" s="117" t="s">
        <v>166</v>
      </c>
      <c r="D179" s="56">
        <v>77</v>
      </c>
      <c r="E179" s="118"/>
      <c r="F179" s="119">
        <v>78476383.807139233</v>
      </c>
      <c r="G179" s="120">
        <f ca="1">INDEX(Alloc,($D179),(G$1))*$F179</f>
        <v>44835644.561648361</v>
      </c>
      <c r="H179" s="120">
        <f t="shared" ca="1" si="52"/>
        <v>9908933.7236178983</v>
      </c>
      <c r="I179" s="120">
        <f t="shared" ca="1" si="52"/>
        <v>9964550.8863718901</v>
      </c>
      <c r="J179" s="120">
        <f t="shared" ca="1" si="52"/>
        <v>5926243.2359001497</v>
      </c>
      <c r="K179" s="120">
        <f t="shared" ca="1" si="52"/>
        <v>4344790.8468365306</v>
      </c>
      <c r="L179" s="120">
        <f t="shared" ca="1" si="52"/>
        <v>18959.204536814763</v>
      </c>
      <c r="M179" s="120">
        <f t="shared" ca="1" si="52"/>
        <v>472142.66443331708</v>
      </c>
      <c r="N179" s="120">
        <f t="shared" ca="1" si="52"/>
        <v>244552.36037363971</v>
      </c>
      <c r="O179" s="120">
        <f t="shared" ca="1" si="52"/>
        <v>1599854.2447574385</v>
      </c>
      <c r="P179" s="120">
        <f t="shared" ca="1" si="52"/>
        <v>463176.95701761846</v>
      </c>
      <c r="Q179" s="120">
        <f t="shared" ca="1" si="52"/>
        <v>672135.92379965878</v>
      </c>
      <c r="R179" s="120">
        <f t="shared" ca="1" si="52"/>
        <v>25399.19784591415</v>
      </c>
      <c r="T179" s="121">
        <f t="shared" ca="1" si="47"/>
        <v>0</v>
      </c>
    </row>
    <row r="180" spans="1:20" x14ac:dyDescent="0.25">
      <c r="A180" s="22">
        <v>236.03</v>
      </c>
      <c r="B180" s="16" t="s">
        <v>456</v>
      </c>
      <c r="C180" s="16" t="s">
        <v>166</v>
      </c>
      <c r="E180" s="48"/>
      <c r="F180" s="49">
        <v>0</v>
      </c>
      <c r="G180" s="65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T180" s="97">
        <f t="shared" si="47"/>
        <v>0</v>
      </c>
    </row>
    <row r="181" spans="1:20" x14ac:dyDescent="0.25">
      <c r="A181" s="22">
        <v>236.04</v>
      </c>
      <c r="B181" s="16" t="s">
        <v>457</v>
      </c>
      <c r="C181" s="16" t="s">
        <v>116</v>
      </c>
      <c r="D181" s="19">
        <v>52</v>
      </c>
      <c r="E181" s="48"/>
      <c r="F181" s="49">
        <v>747526.2321675783</v>
      </c>
      <c r="G181" s="65">
        <f t="shared" ref="G181:R181" si="53">INDEX(Alloc,($D181),(G$1))*$F181</f>
        <v>389433.90493976098</v>
      </c>
      <c r="H181" s="65">
        <f t="shared" si="53"/>
        <v>98950.585681266166</v>
      </c>
      <c r="I181" s="65">
        <f t="shared" si="53"/>
        <v>110040.62889680151</v>
      </c>
      <c r="J181" s="65">
        <f t="shared" si="53"/>
        <v>71016.460487840945</v>
      </c>
      <c r="K181" s="65">
        <f t="shared" si="53"/>
        <v>49409.190293366635</v>
      </c>
      <c r="L181" s="65">
        <f t="shared" si="53"/>
        <v>156.01487249263829</v>
      </c>
      <c r="M181" s="65">
        <f t="shared" si="53"/>
        <v>4305.9347772547744</v>
      </c>
      <c r="N181" s="65">
        <f t="shared" si="53"/>
        <v>0</v>
      </c>
      <c r="O181" s="65">
        <f t="shared" si="53"/>
        <v>21386.306468412899</v>
      </c>
      <c r="P181" s="65">
        <f t="shared" si="53"/>
        <v>0</v>
      </c>
      <c r="Q181" s="65">
        <f t="shared" si="53"/>
        <v>2575.1764315864129</v>
      </c>
      <c r="R181" s="65">
        <f t="shared" si="53"/>
        <v>252.02931879550664</v>
      </c>
      <c r="T181" s="97">
        <f t="shared" si="47"/>
        <v>0</v>
      </c>
    </row>
    <row r="182" spans="1:20" x14ac:dyDescent="0.25">
      <c r="A182" s="25"/>
      <c r="B182" s="24" t="s">
        <v>458</v>
      </c>
      <c r="C182" s="24"/>
      <c r="D182" s="54"/>
      <c r="E182" s="55"/>
      <c r="F182" s="50">
        <f>SUM(F177:F181)</f>
        <v>86495562.504948333</v>
      </c>
      <c r="G182" s="50">
        <f t="shared" ref="G182:R182" ca="1" si="54">SUM(G177:G181)</f>
        <v>49663238.061939187</v>
      </c>
      <c r="H182" s="50">
        <f t="shared" ca="1" si="54"/>
        <v>10886207.009429358</v>
      </c>
      <c r="I182" s="50">
        <f t="shared" ca="1" si="54"/>
        <v>10868267.384631533</v>
      </c>
      <c r="J182" s="50">
        <f t="shared" ca="1" si="54"/>
        <v>6448920.8032298144</v>
      </c>
      <c r="K182" s="50">
        <f t="shared" ca="1" si="54"/>
        <v>4731731.3993098447</v>
      </c>
      <c r="L182" s="50">
        <f t="shared" ca="1" si="54"/>
        <v>20883.179772105388</v>
      </c>
      <c r="M182" s="50">
        <f t="shared" ca="1" si="54"/>
        <v>518961.954497781</v>
      </c>
      <c r="N182" s="50">
        <f t="shared" ca="1" si="54"/>
        <v>288613.23216844257</v>
      </c>
      <c r="O182" s="50">
        <f t="shared" ca="1" si="54"/>
        <v>1734292.2159329338</v>
      </c>
      <c r="P182" s="50">
        <f t="shared" ca="1" si="54"/>
        <v>530878.10974084819</v>
      </c>
      <c r="Q182" s="50">
        <f t="shared" ca="1" si="54"/>
        <v>775849.86952726962</v>
      </c>
      <c r="R182" s="50">
        <f t="shared" ca="1" si="54"/>
        <v>27719.28476921935</v>
      </c>
      <c r="T182" s="97">
        <f t="shared" ca="1" si="47"/>
        <v>0</v>
      </c>
    </row>
    <row r="183" spans="1:20" x14ac:dyDescent="0.25">
      <c r="A183" s="22"/>
      <c r="B183" s="16"/>
      <c r="C183" s="16"/>
      <c r="E183" s="48"/>
      <c r="F183" s="49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T183" s="97">
        <f t="shared" si="47"/>
        <v>0</v>
      </c>
    </row>
    <row r="184" spans="1:20" x14ac:dyDescent="0.25">
      <c r="A184" s="22"/>
      <c r="B184" s="20" t="s">
        <v>459</v>
      </c>
      <c r="C184" s="16"/>
      <c r="E184" s="48"/>
      <c r="F184" s="49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T184" s="97">
        <f t="shared" si="47"/>
        <v>0</v>
      </c>
    </row>
    <row r="185" spans="1:20" s="56" customFormat="1" x14ac:dyDescent="0.25">
      <c r="A185" s="116" t="s">
        <v>460</v>
      </c>
      <c r="B185" s="117" t="s">
        <v>461</v>
      </c>
      <c r="C185" s="117" t="s">
        <v>164</v>
      </c>
      <c r="D185" s="56">
        <v>76</v>
      </c>
      <c r="E185" s="118"/>
      <c r="F185" s="119">
        <v>75069264.46233812</v>
      </c>
      <c r="G185" s="120">
        <f t="shared" ref="G185:R186" si="55">INDEX(Alloc,($D185),(G$1))*$F185</f>
        <v>43317714.211634032</v>
      </c>
      <c r="H185" s="120">
        <f t="shared" si="55"/>
        <v>9013649.9262099713</v>
      </c>
      <c r="I185" s="120">
        <f t="shared" si="55"/>
        <v>9332249.9223090149</v>
      </c>
      <c r="J185" s="120">
        <f t="shared" si="55"/>
        <v>5292224.4731242042</v>
      </c>
      <c r="K185" s="120">
        <f t="shared" si="55"/>
        <v>3981072.9818821754</v>
      </c>
      <c r="L185" s="120">
        <f t="shared" si="55"/>
        <v>21242.798601798706</v>
      </c>
      <c r="M185" s="120">
        <f t="shared" si="55"/>
        <v>514280.13385677896</v>
      </c>
      <c r="N185" s="120">
        <f t="shared" si="55"/>
        <v>527839.80967436079</v>
      </c>
      <c r="O185" s="120">
        <f t="shared" si="55"/>
        <v>1321960.4708620482</v>
      </c>
      <c r="P185" s="120">
        <f t="shared" si="55"/>
        <v>924883.51449794497</v>
      </c>
      <c r="Q185" s="120">
        <f t="shared" si="55"/>
        <v>797305.63802929141</v>
      </c>
      <c r="R185" s="120">
        <f t="shared" si="55"/>
        <v>24840.581656511695</v>
      </c>
      <c r="T185" s="121">
        <f t="shared" si="47"/>
        <v>0</v>
      </c>
    </row>
    <row r="186" spans="1:20" s="56" customFormat="1" x14ac:dyDescent="0.25">
      <c r="A186" s="116" t="s">
        <v>462</v>
      </c>
      <c r="B186" s="117" t="s">
        <v>463</v>
      </c>
      <c r="C186" s="117" t="s">
        <v>164</v>
      </c>
      <c r="D186" s="56">
        <v>76</v>
      </c>
      <c r="E186" s="118"/>
      <c r="F186" s="119">
        <v>-60815173.145295307</v>
      </c>
      <c r="G186" s="120">
        <f t="shared" si="55"/>
        <v>-35092581.616549544</v>
      </c>
      <c r="H186" s="120">
        <f t="shared" si="55"/>
        <v>-7302145.3568197694</v>
      </c>
      <c r="I186" s="120">
        <f t="shared" si="55"/>
        <v>-7560249.8429317195</v>
      </c>
      <c r="J186" s="120">
        <f t="shared" si="55"/>
        <v>-4287341.1636834005</v>
      </c>
      <c r="K186" s="120">
        <f t="shared" si="55"/>
        <v>-3225150.0588324908</v>
      </c>
      <c r="L186" s="120">
        <f t="shared" si="55"/>
        <v>-17209.233157028699</v>
      </c>
      <c r="M186" s="120">
        <f t="shared" si="55"/>
        <v>-416629.0373256114</v>
      </c>
      <c r="N186" s="120">
        <f t="shared" si="55"/>
        <v>-427614.01284850365</v>
      </c>
      <c r="O186" s="120">
        <f t="shared" si="55"/>
        <v>-1070947.6841490231</v>
      </c>
      <c r="P186" s="120">
        <f t="shared" si="55"/>
        <v>-749267.37961633527</v>
      </c>
      <c r="Q186" s="120">
        <f t="shared" si="55"/>
        <v>-645913.88731133542</v>
      </c>
      <c r="R186" s="120">
        <f t="shared" si="55"/>
        <v>-20123.872070553032</v>
      </c>
      <c r="T186" s="121">
        <f t="shared" si="47"/>
        <v>0</v>
      </c>
    </row>
    <row r="187" spans="1:20" x14ac:dyDescent="0.25">
      <c r="A187" s="25"/>
      <c r="B187" s="24" t="s">
        <v>464</v>
      </c>
      <c r="C187" s="24"/>
      <c r="D187" s="54"/>
      <c r="E187" s="55"/>
      <c r="F187" s="50">
        <f>SUM(F185:F186)</f>
        <v>14254091.317042813</v>
      </c>
      <c r="G187" s="50">
        <f t="shared" ref="G187:R187" si="56">SUM(G185:G186)</f>
        <v>8225132.5950844884</v>
      </c>
      <c r="H187" s="50">
        <f t="shared" si="56"/>
        <v>1711504.5693902019</v>
      </c>
      <c r="I187" s="50">
        <f t="shared" si="56"/>
        <v>1772000.0793772954</v>
      </c>
      <c r="J187" s="50">
        <f t="shared" si="56"/>
        <v>1004883.3094408037</v>
      </c>
      <c r="K187" s="50">
        <f t="shared" si="56"/>
        <v>755922.92304968461</v>
      </c>
      <c r="L187" s="50">
        <f t="shared" si="56"/>
        <v>4033.5654447700072</v>
      </c>
      <c r="M187" s="50">
        <f t="shared" si="56"/>
        <v>97651.096531167568</v>
      </c>
      <c r="N187" s="50">
        <f t="shared" si="56"/>
        <v>100225.79682585713</v>
      </c>
      <c r="O187" s="50">
        <f t="shared" si="56"/>
        <v>251012.78671302507</v>
      </c>
      <c r="P187" s="50">
        <f t="shared" si="56"/>
        <v>175616.1348816097</v>
      </c>
      <c r="Q187" s="50">
        <f t="shared" si="56"/>
        <v>151391.75071795599</v>
      </c>
      <c r="R187" s="50">
        <f t="shared" si="56"/>
        <v>4716.7095859586625</v>
      </c>
      <c r="T187" s="97">
        <f t="shared" si="47"/>
        <v>0</v>
      </c>
    </row>
    <row r="188" spans="1:20" x14ac:dyDescent="0.25">
      <c r="A188" s="22"/>
      <c r="B188" s="16"/>
      <c r="C188" s="16"/>
      <c r="E188" s="48"/>
      <c r="F188" s="49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T188" s="97">
        <f t="shared" si="47"/>
        <v>0</v>
      </c>
    </row>
    <row r="189" spans="1:20" ht="15.75" thickBot="1" x14ac:dyDescent="0.3">
      <c r="A189" s="29"/>
      <c r="B189" s="28" t="s">
        <v>325</v>
      </c>
      <c r="C189" s="28"/>
      <c r="D189" s="70"/>
      <c r="E189" s="51">
        <v>1740964054.9918489</v>
      </c>
      <c r="F189" s="51">
        <f>SUM(F122,F174,F182,F187)</f>
        <v>1740964054.9918489</v>
      </c>
      <c r="G189" s="51">
        <f t="shared" ref="G189:R189" ca="1" si="57">SUM(G122,G174,G182,G187)</f>
        <v>992624466.62982154</v>
      </c>
      <c r="H189" s="51">
        <f t="shared" ca="1" si="57"/>
        <v>222264498.17596194</v>
      </c>
      <c r="I189" s="51">
        <f t="shared" ca="1" si="57"/>
        <v>222007059.00597081</v>
      </c>
      <c r="J189" s="51">
        <f t="shared" ca="1" si="57"/>
        <v>133392559.8515816</v>
      </c>
      <c r="K189" s="51">
        <f t="shared" ca="1" si="57"/>
        <v>97261774.087458894</v>
      </c>
      <c r="L189" s="51">
        <f t="shared" ca="1" si="57"/>
        <v>404058.96968521073</v>
      </c>
      <c r="M189" s="51">
        <f t="shared" ca="1" si="57"/>
        <v>10139597.163775451</v>
      </c>
      <c r="N189" s="51">
        <f t="shared" ca="1" si="57"/>
        <v>3880643.2590052132</v>
      </c>
      <c r="O189" s="51">
        <f t="shared" ca="1" si="57"/>
        <v>36571990.408434592</v>
      </c>
      <c r="P189" s="51">
        <f t="shared" ca="1" si="57"/>
        <v>7732258.1115380898</v>
      </c>
      <c r="Q189" s="51">
        <f t="shared" ca="1" si="57"/>
        <v>14124849.583496235</v>
      </c>
      <c r="R189" s="51">
        <f t="shared" ca="1" si="57"/>
        <v>560299.74511969881</v>
      </c>
      <c r="T189" s="97">
        <f t="shared" ca="1" si="47"/>
        <v>0</v>
      </c>
    </row>
    <row r="190" spans="1:20" ht="15.75" thickTop="1" x14ac:dyDescent="0.25">
      <c r="A190" s="43"/>
      <c r="B190" s="16"/>
      <c r="C190" s="16"/>
      <c r="E190" s="48"/>
      <c r="F190" s="49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T190" s="97">
        <f t="shared" si="47"/>
        <v>0</v>
      </c>
    </row>
    <row r="191" spans="1:20" x14ac:dyDescent="0.25">
      <c r="A191" s="43"/>
      <c r="B191" s="16"/>
      <c r="C191" s="16"/>
      <c r="E191" s="48"/>
      <c r="F191" s="49">
        <v>1740964054.9918489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T191" s="97">
        <f t="shared" si="47"/>
        <v>1740964054.9918489</v>
      </c>
    </row>
    <row r="192" spans="1:20" x14ac:dyDescent="0.25">
      <c r="A192" s="16"/>
      <c r="B192" s="16"/>
      <c r="C192" s="16"/>
      <c r="E192" s="48"/>
      <c r="F192" s="52">
        <v>0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</row>
    <row r="193" spans="1:18" x14ac:dyDescent="0.25">
      <c r="A193" s="45"/>
      <c r="B193" s="45"/>
      <c r="C193" s="46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</row>
  </sheetData>
  <autoFilter ref="D1:D193" xr:uid="{91AC8D71-894E-4740-91D6-EEF74B1C60D3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59AC-0145-4C13-B424-A4F6F6996419}">
  <dimension ref="A1:T41"/>
  <sheetViews>
    <sheetView topLeftCell="D25" workbookViewId="0">
      <selection activeCell="L41" sqref="L41:M41"/>
    </sheetView>
  </sheetViews>
  <sheetFormatPr defaultRowHeight="15" x14ac:dyDescent="0.25"/>
  <cols>
    <col min="2" max="2" width="45.140625" bestFit="1" customWidth="1"/>
    <col min="3" max="3" width="16" bestFit="1" customWidth="1"/>
    <col min="5" max="5" width="11.28515625" bestFit="1" customWidth="1"/>
    <col min="6" max="6" width="12.28515625" bestFit="1" customWidth="1"/>
    <col min="7" max="9" width="11.28515625" bestFit="1" customWidth="1"/>
    <col min="10" max="11" width="10.28515625" bestFit="1" customWidth="1"/>
    <col min="12" max="13" width="10.28515625" customWidth="1"/>
    <col min="14" max="15" width="10.28515625" style="76" bestFit="1" customWidth="1"/>
    <col min="16" max="17" width="10.28515625" bestFit="1" customWidth="1"/>
    <col min="18" max="18" width="7.7109375" bestFit="1" customWidth="1"/>
  </cols>
  <sheetData>
    <row r="1" spans="1:20" x14ac:dyDescent="0.25">
      <c r="F1">
        <v>4</v>
      </c>
      <c r="G1">
        <f>F1+1</f>
        <v>5</v>
      </c>
      <c r="H1">
        <f t="shared" ref="H1:R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</row>
    <row r="7" spans="1:20" ht="64.5" x14ac:dyDescent="0.25">
      <c r="C7" t="s">
        <v>119</v>
      </c>
      <c r="D7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138" t="s">
        <v>579</v>
      </c>
      <c r="L7" s="138" t="s">
        <v>580</v>
      </c>
      <c r="M7" s="138" t="s">
        <v>581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x14ac:dyDescent="0.25">
      <c r="B8" t="s">
        <v>180</v>
      </c>
      <c r="C8" t="s">
        <v>490</v>
      </c>
      <c r="D8" t="s">
        <v>321</v>
      </c>
      <c r="F8" t="s">
        <v>1</v>
      </c>
    </row>
    <row r="9" spans="1:20" x14ac:dyDescent="0.25">
      <c r="A9" s="21"/>
      <c r="B9" s="20" t="s">
        <v>466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0" x14ac:dyDescent="0.25">
      <c r="A10" s="2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0" x14ac:dyDescent="0.25">
      <c r="A11" s="21"/>
      <c r="B11" s="20" t="s">
        <v>467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x14ac:dyDescent="0.25">
      <c r="A12" s="21" t="s">
        <v>468</v>
      </c>
      <c r="B12" s="16" t="s">
        <v>469</v>
      </c>
      <c r="D12">
        <v>73</v>
      </c>
      <c r="F12" s="49">
        <v>28389225.455022946</v>
      </c>
      <c r="G12" s="39">
        <f t="shared" ref="G12:R12" si="8">INDEX(Alloc,($D12),(G$1))*$F12</f>
        <v>14963884.410056403</v>
      </c>
      <c r="H12" s="39">
        <f t="shared" si="8"/>
        <v>3759760.2773300596</v>
      </c>
      <c r="I12" s="39">
        <f t="shared" si="8"/>
        <v>4163810.3556616493</v>
      </c>
      <c r="J12" s="39">
        <f t="shared" si="8"/>
        <v>2633871.9745305805</v>
      </c>
      <c r="K12" s="39">
        <f t="shared" si="8"/>
        <v>1834991.3179387553</v>
      </c>
      <c r="L12" s="39">
        <f t="shared" si="8"/>
        <v>5278.9450633728638</v>
      </c>
      <c r="M12" s="39">
        <f t="shared" si="8"/>
        <v>145540.73376149859</v>
      </c>
      <c r="N12" s="142">
        <f t="shared" si="8"/>
        <v>0</v>
      </c>
      <c r="O12" s="142">
        <f t="shared" si="8"/>
        <v>778887.4755363795</v>
      </c>
      <c r="P12" s="39">
        <f t="shared" si="8"/>
        <v>0</v>
      </c>
      <c r="Q12" s="39">
        <f t="shared" si="8"/>
        <v>93531.081360851575</v>
      </c>
      <c r="R12" s="39">
        <f t="shared" si="8"/>
        <v>9668.8837833964026</v>
      </c>
      <c r="T12" s="11">
        <f>F12-SUM(G12:R12)</f>
        <v>0</v>
      </c>
    </row>
    <row r="13" spans="1:20" s="59" customFormat="1" x14ac:dyDescent="0.25">
      <c r="A13" s="57"/>
      <c r="B13" s="59" t="s">
        <v>189</v>
      </c>
      <c r="F13" s="61">
        <f>SUM(F12)</f>
        <v>28389225.455022946</v>
      </c>
      <c r="G13" s="61">
        <f t="shared" ref="G13:R13" si="9">SUM(G12)</f>
        <v>14963884.410056403</v>
      </c>
      <c r="H13" s="61">
        <f t="shared" si="9"/>
        <v>3759760.2773300596</v>
      </c>
      <c r="I13" s="61">
        <f t="shared" si="9"/>
        <v>4163810.3556616493</v>
      </c>
      <c r="J13" s="61">
        <f t="shared" si="9"/>
        <v>2633871.9745305805</v>
      </c>
      <c r="K13" s="61">
        <f t="shared" si="9"/>
        <v>1834991.3179387553</v>
      </c>
      <c r="L13" s="61">
        <f t="shared" si="9"/>
        <v>5278.9450633728638</v>
      </c>
      <c r="M13" s="61">
        <f t="shared" si="9"/>
        <v>145540.73376149859</v>
      </c>
      <c r="N13" s="61">
        <f t="shared" si="9"/>
        <v>0</v>
      </c>
      <c r="O13" s="61">
        <f t="shared" si="9"/>
        <v>778887.4755363795</v>
      </c>
      <c r="P13" s="61">
        <f t="shared" si="9"/>
        <v>0</v>
      </c>
      <c r="Q13" s="61">
        <f t="shared" si="9"/>
        <v>93531.081360851575</v>
      </c>
      <c r="R13" s="61">
        <f t="shared" si="9"/>
        <v>9668.8837833964026</v>
      </c>
      <c r="T13" s="11">
        <f>F13-SUM(G13:R13)</f>
        <v>0</v>
      </c>
    </row>
    <row r="14" spans="1:20" x14ac:dyDescent="0.25">
      <c r="A14" s="21"/>
      <c r="B14" s="59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0" x14ac:dyDescent="0.25">
      <c r="A15" s="21"/>
      <c r="B15" s="20" t="s">
        <v>470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0" x14ac:dyDescent="0.25">
      <c r="A16" s="21" t="s">
        <v>471</v>
      </c>
      <c r="B16" s="16" t="s">
        <v>472</v>
      </c>
      <c r="D16">
        <v>82</v>
      </c>
      <c r="F16" s="49">
        <v>9524371.1429421082</v>
      </c>
      <c r="G16" s="39">
        <f t="shared" ref="G16:R16" si="10">INDEX(Alloc,($D16),(G$1))*$F16</f>
        <v>4647891.0842819046</v>
      </c>
      <c r="H16" s="39">
        <f t="shared" si="10"/>
        <v>1167557.5605134561</v>
      </c>
      <c r="I16" s="39">
        <f t="shared" si="10"/>
        <v>1292927.5505180825</v>
      </c>
      <c r="J16" s="39">
        <f t="shared" si="10"/>
        <v>817537.10760101688</v>
      </c>
      <c r="K16" s="39">
        <f t="shared" si="10"/>
        <v>569584.94934055884</v>
      </c>
      <c r="L16" s="39">
        <f t="shared" si="10"/>
        <v>1635.435011472659</v>
      </c>
      <c r="M16" s="39">
        <f t="shared" si="10"/>
        <v>45087.963537529104</v>
      </c>
      <c r="N16" s="142">
        <f t="shared" si="10"/>
        <v>103970.17600806479</v>
      </c>
      <c r="O16" s="142">
        <f t="shared" si="10"/>
        <v>241673.94482394983</v>
      </c>
      <c r="P16" s="39">
        <f t="shared" si="10"/>
        <v>604482.92868259898</v>
      </c>
      <c r="Q16" s="39">
        <f t="shared" si="10"/>
        <v>29019.307672104394</v>
      </c>
      <c r="R16" s="39">
        <f t="shared" si="10"/>
        <v>3003.1349513678415</v>
      </c>
      <c r="T16" s="11">
        <f t="shared" ref="T16:T17" si="11">F16-SUM(G16:R16)</f>
        <v>0</v>
      </c>
    </row>
    <row r="17" spans="1:20" s="59" customFormat="1" x14ac:dyDescent="0.25">
      <c r="A17" s="57"/>
      <c r="B17" s="59" t="s">
        <v>189</v>
      </c>
      <c r="F17" s="61">
        <f>SUM(F16)</f>
        <v>9524371.1429421082</v>
      </c>
      <c r="G17" s="61">
        <f t="shared" ref="G17:R17" si="12">SUM(G16)</f>
        <v>4647891.0842819046</v>
      </c>
      <c r="H17" s="61">
        <f t="shared" si="12"/>
        <v>1167557.5605134561</v>
      </c>
      <c r="I17" s="61">
        <f t="shared" si="12"/>
        <v>1292927.5505180825</v>
      </c>
      <c r="J17" s="61">
        <f t="shared" si="12"/>
        <v>817537.10760101688</v>
      </c>
      <c r="K17" s="61">
        <f t="shared" si="12"/>
        <v>569584.94934055884</v>
      </c>
      <c r="L17" s="61">
        <f t="shared" si="12"/>
        <v>1635.435011472659</v>
      </c>
      <c r="M17" s="61">
        <f t="shared" si="12"/>
        <v>45087.963537529104</v>
      </c>
      <c r="N17" s="61">
        <f t="shared" si="12"/>
        <v>103970.17600806479</v>
      </c>
      <c r="O17" s="61">
        <f t="shared" si="12"/>
        <v>241673.94482394983</v>
      </c>
      <c r="P17" s="61">
        <f t="shared" si="12"/>
        <v>604482.92868259898</v>
      </c>
      <c r="Q17" s="61">
        <f t="shared" si="12"/>
        <v>29019.307672104394</v>
      </c>
      <c r="R17" s="61">
        <f t="shared" si="12"/>
        <v>3003.1349513678415</v>
      </c>
      <c r="T17" s="11">
        <f t="shared" si="11"/>
        <v>0</v>
      </c>
    </row>
    <row r="18" spans="1:20" x14ac:dyDescent="0.25">
      <c r="A18" s="21"/>
      <c r="B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20" x14ac:dyDescent="0.25">
      <c r="A19" s="21"/>
      <c r="B19" s="20" t="s">
        <v>473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0" x14ac:dyDescent="0.25">
      <c r="A20" s="21" t="s">
        <v>474</v>
      </c>
      <c r="B20" s="16" t="s">
        <v>475</v>
      </c>
      <c r="D20">
        <v>68</v>
      </c>
      <c r="F20" s="49">
        <v>28292537.446778752</v>
      </c>
      <c r="G20" s="39">
        <f t="shared" ref="G20:R20" si="13">INDEX(Alloc,($D20),(G$1))*$F20</f>
        <v>18812060.296566386</v>
      </c>
      <c r="H20" s="39">
        <f t="shared" si="13"/>
        <v>3353725.1003998294</v>
      </c>
      <c r="I20" s="39">
        <f t="shared" si="13"/>
        <v>2662657.1974587156</v>
      </c>
      <c r="J20" s="39">
        <f t="shared" si="13"/>
        <v>1133842.1724696301</v>
      </c>
      <c r="K20" s="39">
        <f t="shared" si="13"/>
        <v>999133.9935697671</v>
      </c>
      <c r="L20" s="39">
        <f t="shared" si="13"/>
        <v>11393.617657440931</v>
      </c>
      <c r="M20" s="39">
        <f t="shared" si="13"/>
        <v>247160.31049893712</v>
      </c>
      <c r="N20" s="142">
        <f t="shared" si="13"/>
        <v>340182.12384995742</v>
      </c>
      <c r="O20" s="142">
        <f t="shared" si="13"/>
        <v>129644.50237925042</v>
      </c>
      <c r="P20" s="39">
        <f t="shared" si="13"/>
        <v>44792.738387103869</v>
      </c>
      <c r="Q20" s="39">
        <f t="shared" si="13"/>
        <v>549263.68244694755</v>
      </c>
      <c r="R20" s="39">
        <f t="shared" si="13"/>
        <v>8681.7110947825895</v>
      </c>
      <c r="T20" s="11">
        <f t="shared" ref="T20:T21" si="14">F20-SUM(G20:R20)</f>
        <v>0</v>
      </c>
    </row>
    <row r="21" spans="1:20" s="59" customFormat="1" x14ac:dyDescent="0.25">
      <c r="A21" s="57"/>
      <c r="B21" s="59" t="s">
        <v>189</v>
      </c>
      <c r="F21" s="58">
        <f>SUM(F20)</f>
        <v>28292537.446778752</v>
      </c>
      <c r="G21" s="58">
        <f t="shared" ref="G21:R21" si="15">SUM(G20)</f>
        <v>18812060.296566386</v>
      </c>
      <c r="H21" s="58">
        <f t="shared" si="15"/>
        <v>3353725.1003998294</v>
      </c>
      <c r="I21" s="58">
        <f t="shared" si="15"/>
        <v>2662657.1974587156</v>
      </c>
      <c r="J21" s="58">
        <f t="shared" si="15"/>
        <v>1133842.1724696301</v>
      </c>
      <c r="K21" s="58">
        <f t="shared" si="15"/>
        <v>999133.9935697671</v>
      </c>
      <c r="L21" s="58">
        <f t="shared" si="15"/>
        <v>11393.617657440931</v>
      </c>
      <c r="M21" s="58">
        <f t="shared" si="15"/>
        <v>247160.31049893712</v>
      </c>
      <c r="N21" s="58">
        <f t="shared" si="15"/>
        <v>340182.12384995742</v>
      </c>
      <c r="O21" s="58">
        <f t="shared" si="15"/>
        <v>129644.50237925042</v>
      </c>
      <c r="P21" s="58">
        <f t="shared" si="15"/>
        <v>44792.738387103869</v>
      </c>
      <c r="Q21" s="58">
        <f t="shared" si="15"/>
        <v>549263.68244694755</v>
      </c>
      <c r="R21" s="58">
        <f t="shared" si="15"/>
        <v>8681.7110947825895</v>
      </c>
      <c r="T21" s="11">
        <f t="shared" si="14"/>
        <v>0</v>
      </c>
    </row>
    <row r="22" spans="1:20" x14ac:dyDescent="0.25">
      <c r="A22" s="21"/>
      <c r="B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20" x14ac:dyDescent="0.25">
      <c r="A23" s="21"/>
      <c r="B23" s="20" t="s">
        <v>476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20" x14ac:dyDescent="0.25">
      <c r="A24" s="21" t="s">
        <v>477</v>
      </c>
      <c r="B24" s="16" t="s">
        <v>478</v>
      </c>
      <c r="D24">
        <v>63</v>
      </c>
      <c r="F24" s="49">
        <v>11005573.481128439</v>
      </c>
      <c r="G24" s="39">
        <f t="shared" ref="G24:R24" si="16">INDEX(Alloc,($D24),(G$1))*$F24</f>
        <v>9572809.3555943463</v>
      </c>
      <c r="H24" s="39">
        <f t="shared" si="16"/>
        <v>1002769.3972109647</v>
      </c>
      <c r="I24" s="39">
        <f t="shared" si="16"/>
        <v>100891.00110746252</v>
      </c>
      <c r="J24" s="39">
        <f t="shared" si="16"/>
        <v>107054.81822825941</v>
      </c>
      <c r="K24" s="39">
        <f t="shared" si="16"/>
        <v>115711.15618826138</v>
      </c>
      <c r="L24" s="39">
        <f t="shared" si="16"/>
        <v>9.7679277053206981</v>
      </c>
      <c r="M24" s="39">
        <f t="shared" si="16"/>
        <v>3238.5780321294897</v>
      </c>
      <c r="N24" s="142">
        <f t="shared" si="16"/>
        <v>13140.966580869263</v>
      </c>
      <c r="O24" s="142">
        <f t="shared" si="16"/>
        <v>20961.424315093176</v>
      </c>
      <c r="P24" s="39">
        <f t="shared" si="16"/>
        <v>37427.87766192665</v>
      </c>
      <c r="Q24" s="39">
        <f t="shared" si="16"/>
        <v>31538.431796987199</v>
      </c>
      <c r="R24" s="39">
        <f t="shared" si="16"/>
        <v>20.706484432343885</v>
      </c>
      <c r="T24" s="11">
        <f t="shared" ref="T24:T25" si="17">F24-SUM(G24:R24)</f>
        <v>0</v>
      </c>
    </row>
    <row r="25" spans="1:20" s="59" customFormat="1" x14ac:dyDescent="0.25">
      <c r="A25" s="57"/>
      <c r="B25" s="59" t="s">
        <v>189</v>
      </c>
      <c r="F25" s="58">
        <f>SUM(F24)</f>
        <v>11005573.481128439</v>
      </c>
      <c r="G25" s="58">
        <f t="shared" ref="G25:R25" si="18">SUM(G24)</f>
        <v>9572809.3555943463</v>
      </c>
      <c r="H25" s="58">
        <f t="shared" si="18"/>
        <v>1002769.3972109647</v>
      </c>
      <c r="I25" s="58">
        <f t="shared" si="18"/>
        <v>100891.00110746252</v>
      </c>
      <c r="J25" s="58">
        <f t="shared" si="18"/>
        <v>107054.81822825941</v>
      </c>
      <c r="K25" s="58">
        <f t="shared" si="18"/>
        <v>115711.15618826138</v>
      </c>
      <c r="L25" s="58">
        <f t="shared" si="18"/>
        <v>9.7679277053206981</v>
      </c>
      <c r="M25" s="58">
        <f t="shared" si="18"/>
        <v>3238.5780321294897</v>
      </c>
      <c r="N25" s="58">
        <f t="shared" si="18"/>
        <v>13140.966580869263</v>
      </c>
      <c r="O25" s="58">
        <f t="shared" si="18"/>
        <v>20961.424315093176</v>
      </c>
      <c r="P25" s="58">
        <f t="shared" si="18"/>
        <v>37427.87766192665</v>
      </c>
      <c r="Q25" s="58">
        <f t="shared" si="18"/>
        <v>31538.431796987199</v>
      </c>
      <c r="R25" s="58">
        <f t="shared" si="18"/>
        <v>20.706484432343885</v>
      </c>
      <c r="T25" s="11">
        <f t="shared" si="17"/>
        <v>0</v>
      </c>
    </row>
    <row r="26" spans="1:20" x14ac:dyDescent="0.25">
      <c r="A26" s="21"/>
      <c r="B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0" x14ac:dyDescent="0.25">
      <c r="A27" s="21"/>
      <c r="B27" s="20" t="s">
        <v>479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0" x14ac:dyDescent="0.25">
      <c r="A28" s="21" t="s">
        <v>480</v>
      </c>
      <c r="B28" s="16" t="s">
        <v>481</v>
      </c>
      <c r="D28">
        <v>1</v>
      </c>
      <c r="F28" s="49">
        <v>1376273.7558263356</v>
      </c>
      <c r="G28" s="39">
        <f t="shared" ref="G28:R28" si="19">INDEX(Alloc,($D28),(G$1))*$F28</f>
        <v>1209631.7695763246</v>
      </c>
      <c r="H28" s="39">
        <f t="shared" si="19"/>
        <v>145550.04880101755</v>
      </c>
      <c r="I28" s="39">
        <f t="shared" si="19"/>
        <v>9772.1228836946921</v>
      </c>
      <c r="J28" s="39">
        <f t="shared" si="19"/>
        <v>1007.8549078969783</v>
      </c>
      <c r="K28" s="39">
        <f t="shared" si="19"/>
        <v>582.92795741784857</v>
      </c>
      <c r="L28" s="39">
        <f t="shared" si="19"/>
        <v>2.3939546505866467</v>
      </c>
      <c r="M28" s="39">
        <f t="shared" si="19"/>
        <v>185.53148542046515</v>
      </c>
      <c r="N28" s="142">
        <f t="shared" si="19"/>
        <v>111.31889125227907</v>
      </c>
      <c r="O28" s="142">
        <f t="shared" si="19"/>
        <v>29.924433132333085</v>
      </c>
      <c r="P28" s="39">
        <f t="shared" si="19"/>
        <v>19.151637204693174</v>
      </c>
      <c r="Q28" s="39">
        <f t="shared" si="19"/>
        <v>9371.1354797214281</v>
      </c>
      <c r="R28" s="39">
        <f t="shared" si="19"/>
        <v>9.5758186023465868</v>
      </c>
      <c r="T28" s="11">
        <f t="shared" ref="T28:T29" si="20">F28-SUM(G28:R28)</f>
        <v>0</v>
      </c>
    </row>
    <row r="29" spans="1:20" s="59" customFormat="1" x14ac:dyDescent="0.25">
      <c r="A29" s="57"/>
      <c r="B29" s="59" t="s">
        <v>189</v>
      </c>
      <c r="F29" s="58">
        <f>SUM(F28)</f>
        <v>1376273.7558263356</v>
      </c>
      <c r="G29" s="58">
        <f t="shared" ref="G29:R29" si="21">SUM(G28)</f>
        <v>1209631.7695763246</v>
      </c>
      <c r="H29" s="58">
        <f t="shared" si="21"/>
        <v>145550.04880101755</v>
      </c>
      <c r="I29" s="58">
        <f t="shared" si="21"/>
        <v>9772.1228836946921</v>
      </c>
      <c r="J29" s="58">
        <f t="shared" si="21"/>
        <v>1007.8549078969783</v>
      </c>
      <c r="K29" s="58">
        <f t="shared" si="21"/>
        <v>582.92795741784857</v>
      </c>
      <c r="L29" s="58">
        <f t="shared" si="21"/>
        <v>2.3939546505866467</v>
      </c>
      <c r="M29" s="58">
        <f t="shared" si="21"/>
        <v>185.53148542046515</v>
      </c>
      <c r="N29" s="58">
        <f t="shared" si="21"/>
        <v>111.31889125227907</v>
      </c>
      <c r="O29" s="58">
        <f t="shared" si="21"/>
        <v>29.924433132333085</v>
      </c>
      <c r="P29" s="58">
        <f t="shared" si="21"/>
        <v>19.151637204693174</v>
      </c>
      <c r="Q29" s="58">
        <f t="shared" si="21"/>
        <v>9371.1354797214281</v>
      </c>
      <c r="R29" s="58">
        <f t="shared" si="21"/>
        <v>9.5758186023465868</v>
      </c>
      <c r="T29" s="11">
        <f t="shared" si="20"/>
        <v>0</v>
      </c>
    </row>
    <row r="30" spans="1:20" x14ac:dyDescent="0.25">
      <c r="A30" s="21"/>
      <c r="B30" s="16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20" x14ac:dyDescent="0.25">
      <c r="A31" s="57"/>
      <c r="B31" s="20" t="s">
        <v>482</v>
      </c>
      <c r="F31" s="58">
        <f>SUM(F13,F17,F21,F25,F29)</f>
        <v>78587981.281698585</v>
      </c>
      <c r="G31" s="58">
        <f t="shared" ref="G31:R31" si="22">SUM(G13,G17,G21,G25,G29)</f>
        <v>49206276.916075364</v>
      </c>
      <c r="H31" s="58">
        <f t="shared" si="22"/>
        <v>9429362.3842553273</v>
      </c>
      <c r="I31" s="58">
        <f t="shared" si="22"/>
        <v>8230058.2276296047</v>
      </c>
      <c r="J31" s="58">
        <f t="shared" si="22"/>
        <v>4693313.9277373841</v>
      </c>
      <c r="K31" s="58">
        <f t="shared" si="22"/>
        <v>3520004.3449947601</v>
      </c>
      <c r="L31" s="58">
        <f t="shared" si="22"/>
        <v>18320.159614642362</v>
      </c>
      <c r="M31" s="58">
        <f t="shared" si="22"/>
        <v>441213.11731551483</v>
      </c>
      <c r="N31" s="58">
        <f t="shared" si="22"/>
        <v>457404.5853301438</v>
      </c>
      <c r="O31" s="58">
        <f t="shared" si="22"/>
        <v>1171197.2714878053</v>
      </c>
      <c r="P31" s="58">
        <f t="shared" si="22"/>
        <v>686722.69636883424</v>
      </c>
      <c r="Q31" s="58">
        <f t="shared" si="22"/>
        <v>712723.6387566122</v>
      </c>
      <c r="R31" s="58">
        <f t="shared" si="22"/>
        <v>21384.012132581523</v>
      </c>
      <c r="T31" s="11">
        <f>F31-SUM(G31:R31)</f>
        <v>0</v>
      </c>
    </row>
    <row r="32" spans="1:20" x14ac:dyDescent="0.25">
      <c r="A32" s="57"/>
      <c r="B32" s="20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20" x14ac:dyDescent="0.25">
      <c r="A33" s="21"/>
      <c r="B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20" x14ac:dyDescent="0.25">
      <c r="A34" s="21"/>
      <c r="B34" s="20" t="s">
        <v>483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20" x14ac:dyDescent="0.25">
      <c r="A35" s="21" t="s">
        <v>484</v>
      </c>
      <c r="B35" s="16" t="s">
        <v>485</v>
      </c>
      <c r="D35">
        <v>75</v>
      </c>
      <c r="F35" s="49">
        <v>29215057.33172036</v>
      </c>
      <c r="G35" s="39">
        <f t="shared" ref="G35:R35" si="23">INDEX(Alloc,($D35),(G$1))*$F35</f>
        <v>16896133.830990288</v>
      </c>
      <c r="H35" s="39">
        <f t="shared" si="23"/>
        <v>3652467.0374583881</v>
      </c>
      <c r="I35" s="39">
        <f t="shared" si="23"/>
        <v>3591032.2770329956</v>
      </c>
      <c r="J35" s="39">
        <f t="shared" si="23"/>
        <v>2033773.3302683986</v>
      </c>
      <c r="K35" s="39">
        <f t="shared" si="23"/>
        <v>1507222.6975073665</v>
      </c>
      <c r="L35" s="39">
        <f t="shared" si="23"/>
        <v>8012.0249150697318</v>
      </c>
      <c r="M35" s="39">
        <f t="shared" si="23"/>
        <v>191985.19466896832</v>
      </c>
      <c r="N35" s="142">
        <f t="shared" si="23"/>
        <v>198842.59773745327</v>
      </c>
      <c r="O35" s="142">
        <f t="shared" si="23"/>
        <v>512605.91705222748</v>
      </c>
      <c r="P35" s="39">
        <f t="shared" si="23"/>
        <v>321625.26359240949</v>
      </c>
      <c r="Q35" s="39">
        <f t="shared" si="23"/>
        <v>291939.308775443</v>
      </c>
      <c r="R35" s="39">
        <f t="shared" si="23"/>
        <v>9417.8517213540817</v>
      </c>
      <c r="T35" s="11">
        <f t="shared" ref="T35:T37" si="24">F35-SUM(G35:R35)</f>
        <v>0</v>
      </c>
    </row>
    <row r="36" spans="1:20" x14ac:dyDescent="0.25">
      <c r="A36" s="21" t="s">
        <v>486</v>
      </c>
      <c r="B36" s="16" t="s">
        <v>487</v>
      </c>
      <c r="D36" t="s">
        <v>465</v>
      </c>
      <c r="F36" s="49">
        <v>501708.48065521597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/>
      <c r="M36" s="49"/>
      <c r="N36" s="49">
        <v>0</v>
      </c>
      <c r="O36" s="49">
        <v>0</v>
      </c>
      <c r="P36" s="49">
        <v>0</v>
      </c>
      <c r="Q36" s="49">
        <v>501708.48065521597</v>
      </c>
      <c r="R36" s="49">
        <v>0</v>
      </c>
      <c r="T36" s="11">
        <f t="shared" si="24"/>
        <v>0</v>
      </c>
    </row>
    <row r="37" spans="1:20" s="59" customFormat="1" x14ac:dyDescent="0.25">
      <c r="A37" s="20"/>
      <c r="B37" s="20" t="s">
        <v>189</v>
      </c>
      <c r="F37" s="58">
        <f>SUM(F35:F36)</f>
        <v>29716765.812375575</v>
      </c>
      <c r="G37" s="58">
        <f t="shared" ref="G37:R37" si="25">SUM(G35:G36)</f>
        <v>16896133.830990288</v>
      </c>
      <c r="H37" s="58">
        <f t="shared" si="25"/>
        <v>3652467.0374583881</v>
      </c>
      <c r="I37" s="58">
        <f t="shared" si="25"/>
        <v>3591032.2770329956</v>
      </c>
      <c r="J37" s="58">
        <f t="shared" si="25"/>
        <v>2033773.3302683986</v>
      </c>
      <c r="K37" s="58">
        <f t="shared" si="25"/>
        <v>1507222.6975073665</v>
      </c>
      <c r="L37" s="58">
        <f t="shared" si="25"/>
        <v>8012.0249150697318</v>
      </c>
      <c r="M37" s="58">
        <f t="shared" si="25"/>
        <v>191985.19466896832</v>
      </c>
      <c r="N37" s="58">
        <f t="shared" si="25"/>
        <v>198842.59773745327</v>
      </c>
      <c r="O37" s="58">
        <f t="shared" si="25"/>
        <v>512605.91705222748</v>
      </c>
      <c r="P37" s="58">
        <f t="shared" si="25"/>
        <v>321625.26359240949</v>
      </c>
      <c r="Q37" s="58">
        <f t="shared" si="25"/>
        <v>793647.78943065903</v>
      </c>
      <c r="R37" s="58">
        <f t="shared" si="25"/>
        <v>9417.8517213540817</v>
      </c>
      <c r="T37" s="11">
        <f t="shared" si="24"/>
        <v>0</v>
      </c>
    </row>
    <row r="38" spans="1:20" x14ac:dyDescent="0.25">
      <c r="A38" s="16"/>
      <c r="B38" s="16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20" x14ac:dyDescent="0.25">
      <c r="A39" s="20"/>
      <c r="B39" s="20" t="s">
        <v>488</v>
      </c>
      <c r="F39" s="58">
        <f>F37</f>
        <v>29716765.812375575</v>
      </c>
      <c r="G39" s="58">
        <f t="shared" ref="G39:R39" si="26">G37</f>
        <v>16896133.830990288</v>
      </c>
      <c r="H39" s="58">
        <f t="shared" si="26"/>
        <v>3652467.0374583881</v>
      </c>
      <c r="I39" s="58">
        <f t="shared" si="26"/>
        <v>3591032.2770329956</v>
      </c>
      <c r="J39" s="58">
        <f t="shared" si="26"/>
        <v>2033773.3302683986</v>
      </c>
      <c r="K39" s="58">
        <f t="shared" si="26"/>
        <v>1507222.6975073665</v>
      </c>
      <c r="L39" s="58">
        <f t="shared" si="26"/>
        <v>8012.0249150697318</v>
      </c>
      <c r="M39" s="58">
        <f t="shared" si="26"/>
        <v>191985.19466896832</v>
      </c>
      <c r="N39" s="58">
        <f t="shared" si="26"/>
        <v>198842.59773745327</v>
      </c>
      <c r="O39" s="58">
        <f t="shared" si="26"/>
        <v>512605.91705222748</v>
      </c>
      <c r="P39" s="58">
        <f t="shared" si="26"/>
        <v>321625.26359240949</v>
      </c>
      <c r="Q39" s="58">
        <f t="shared" si="26"/>
        <v>793647.78943065903</v>
      </c>
      <c r="R39" s="58">
        <f t="shared" si="26"/>
        <v>9417.8517213540817</v>
      </c>
      <c r="T39" s="11">
        <f>F39-SUM(G39:R39)</f>
        <v>0</v>
      </c>
    </row>
    <row r="40" spans="1:20" x14ac:dyDescent="0.25">
      <c r="A40" s="16"/>
      <c r="B40" s="16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20" x14ac:dyDescent="0.25">
      <c r="A41" s="20"/>
      <c r="B41" s="20" t="s">
        <v>489</v>
      </c>
      <c r="F41" s="58">
        <f>F31+F39</f>
        <v>108304747.09407416</v>
      </c>
      <c r="G41" s="58">
        <f t="shared" ref="G41:R41" si="27">G31+G39</f>
        <v>66102410.747065648</v>
      </c>
      <c r="H41" s="58">
        <f t="shared" si="27"/>
        <v>13081829.421713715</v>
      </c>
      <c r="I41" s="58">
        <f t="shared" si="27"/>
        <v>11821090.504662599</v>
      </c>
      <c r="J41" s="58">
        <f t="shared" si="27"/>
        <v>6727087.258005783</v>
      </c>
      <c r="K41" s="58">
        <f t="shared" si="27"/>
        <v>5027227.0425021267</v>
      </c>
      <c r="L41" s="58">
        <f t="shared" si="27"/>
        <v>26332.184529712093</v>
      </c>
      <c r="M41" s="58">
        <f t="shared" si="27"/>
        <v>633198.31198448315</v>
      </c>
      <c r="N41" s="58">
        <f t="shared" si="27"/>
        <v>656247.1830675971</v>
      </c>
      <c r="O41" s="58">
        <f t="shared" si="27"/>
        <v>1683803.1885400328</v>
      </c>
      <c r="P41" s="58">
        <f t="shared" si="27"/>
        <v>1008347.9599612437</v>
      </c>
      <c r="Q41" s="58">
        <f t="shared" si="27"/>
        <v>1506371.4281872711</v>
      </c>
      <c r="R41" s="58">
        <f t="shared" si="27"/>
        <v>30801.863853935603</v>
      </c>
      <c r="T41" s="11">
        <f>F41-SUM(G41:R41)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1DE1-3101-4F51-B388-D071281CD12E}">
  <dimension ref="A1:T59"/>
  <sheetViews>
    <sheetView topLeftCell="G1" workbookViewId="0">
      <selection activeCell="M63" sqref="M63"/>
    </sheetView>
  </sheetViews>
  <sheetFormatPr defaultRowHeight="15" x14ac:dyDescent="0.25"/>
  <cols>
    <col min="1" max="1" width="7.42578125" style="19" bestFit="1" customWidth="1"/>
    <col min="2" max="2" width="59" style="19" bestFit="1" customWidth="1"/>
    <col min="3" max="3" width="19.85546875" style="19" bestFit="1" customWidth="1"/>
    <col min="4" max="4" width="15" style="19" bestFit="1" customWidth="1"/>
    <col min="5" max="5" width="9.140625" style="19"/>
    <col min="6" max="7" width="15" style="19" bestFit="1" customWidth="1"/>
    <col min="8" max="11" width="13.42578125" style="19" bestFit="1" customWidth="1"/>
    <col min="12" max="13" width="13.42578125" style="19" customWidth="1"/>
    <col min="14" max="14" width="11.28515625" style="19" bestFit="1" customWidth="1"/>
    <col min="15" max="17" width="12.28515625" style="19" bestFit="1" customWidth="1"/>
    <col min="18" max="18" width="9.7109375" style="19" bestFit="1" customWidth="1"/>
    <col min="19" max="19" width="9.140625" style="19"/>
    <col min="20" max="20" width="16" style="19" bestFit="1" customWidth="1"/>
    <col min="21" max="16384" width="9.140625" style="19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customForma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customFormat="1" ht="51.75" x14ac:dyDescent="0.25">
      <c r="A7" s="19"/>
      <c r="B7" s="19"/>
      <c r="C7" s="19"/>
      <c r="D7" s="19" t="s">
        <v>320</v>
      </c>
      <c r="E7" s="19"/>
      <c r="F7" s="19"/>
      <c r="G7" s="33" t="s">
        <v>313</v>
      </c>
      <c r="H7" s="33" t="s">
        <v>314</v>
      </c>
      <c r="I7" s="33" t="s">
        <v>315</v>
      </c>
      <c r="J7" s="33" t="s">
        <v>316</v>
      </c>
      <c r="K7" s="138" t="s">
        <v>579</v>
      </c>
      <c r="L7" s="138" t="s">
        <v>580</v>
      </c>
      <c r="M7" s="138" t="s">
        <v>581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customFormat="1" x14ac:dyDescent="0.25">
      <c r="A8" s="47"/>
      <c r="B8" s="35" t="s">
        <v>180</v>
      </c>
      <c r="C8" s="34" t="s">
        <v>181</v>
      </c>
      <c r="D8" s="34" t="s">
        <v>321</v>
      </c>
      <c r="E8" s="47"/>
      <c r="F8" s="34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x14ac:dyDescent="0.25">
      <c r="A9" s="78"/>
      <c r="B9" s="78"/>
      <c r="C9" s="78"/>
      <c r="D9" s="78"/>
    </row>
    <row r="10" spans="1:20" x14ac:dyDescent="0.25">
      <c r="A10" s="79"/>
      <c r="B10" s="20" t="s">
        <v>492</v>
      </c>
      <c r="C10" s="80"/>
      <c r="F10" s="79"/>
    </row>
    <row r="11" spans="1:20" x14ac:dyDescent="0.25">
      <c r="A11" s="81">
        <v>447</v>
      </c>
      <c r="B11" s="79" t="s">
        <v>493</v>
      </c>
      <c r="C11" s="80" t="s">
        <v>61</v>
      </c>
      <c r="D11" s="19">
        <v>23</v>
      </c>
      <c r="F11" s="82">
        <v>1981067118.0012321</v>
      </c>
      <c r="G11" s="65">
        <f t="shared" ref="G11:R14" si="1">INDEX(Alloc,($D11),(G$1))*$F11</f>
        <v>1105896513.2900393</v>
      </c>
      <c r="H11" s="65">
        <f t="shared" si="1"/>
        <v>263390391.2140398</v>
      </c>
      <c r="I11" s="65">
        <f t="shared" si="1"/>
        <v>270703257.2199825</v>
      </c>
      <c r="J11" s="65">
        <f t="shared" si="1"/>
        <v>160280839.13024956</v>
      </c>
      <c r="K11" s="65">
        <f t="shared" si="1"/>
        <v>113255219.09203497</v>
      </c>
      <c r="L11" s="65">
        <f t="shared" si="1"/>
        <v>268014.00021779712</v>
      </c>
      <c r="M11" s="65">
        <f t="shared" si="1"/>
        <v>10687146.00868473</v>
      </c>
      <c r="N11" s="65">
        <f t="shared" si="1"/>
        <v>0</v>
      </c>
      <c r="O11" s="65">
        <f t="shared" si="1"/>
        <v>40128244.032609545</v>
      </c>
      <c r="P11" s="65">
        <f t="shared" si="1"/>
        <v>0</v>
      </c>
      <c r="Q11" s="65">
        <f t="shared" si="1"/>
        <v>16457494.013373908</v>
      </c>
      <c r="R11" s="65">
        <f t="shared" si="1"/>
        <v>0</v>
      </c>
      <c r="T11" s="87">
        <f>SUM(G11:R11)-F11</f>
        <v>0</v>
      </c>
    </row>
    <row r="12" spans="1:20" x14ac:dyDescent="0.25">
      <c r="A12" s="81">
        <v>447.01</v>
      </c>
      <c r="B12" s="79" t="s">
        <v>494</v>
      </c>
      <c r="C12" s="80" t="s">
        <v>27</v>
      </c>
      <c r="D12" s="19">
        <v>6</v>
      </c>
      <c r="F12" s="82">
        <v>10117371.780000001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  <c r="L12" s="65">
        <f t="shared" si="1"/>
        <v>0</v>
      </c>
      <c r="M12" s="65">
        <f t="shared" si="1"/>
        <v>0</v>
      </c>
      <c r="N12" s="65">
        <f t="shared" si="1"/>
        <v>0</v>
      </c>
      <c r="O12" s="65">
        <f t="shared" si="1"/>
        <v>0</v>
      </c>
      <c r="P12" s="65">
        <f t="shared" si="1"/>
        <v>10117371.780000001</v>
      </c>
      <c r="Q12" s="65">
        <f t="shared" si="1"/>
        <v>0</v>
      </c>
      <c r="R12" s="65">
        <f t="shared" si="1"/>
        <v>0</v>
      </c>
      <c r="T12" s="87">
        <f t="shared" ref="T12:T58" si="2">SUM(G12:R12)-F12</f>
        <v>0</v>
      </c>
    </row>
    <row r="13" spans="1:20" x14ac:dyDescent="0.25">
      <c r="A13" s="81">
        <v>447.02</v>
      </c>
      <c r="B13" s="79" t="s">
        <v>495</v>
      </c>
      <c r="C13" s="80" t="s">
        <v>25</v>
      </c>
      <c r="D13" s="19">
        <v>5</v>
      </c>
      <c r="F13" s="82">
        <v>5493553</v>
      </c>
      <c r="G13" s="65">
        <f t="shared" si="1"/>
        <v>0</v>
      </c>
      <c r="H13" s="65">
        <f t="shared" si="1"/>
        <v>0</v>
      </c>
      <c r="I13" s="65">
        <f t="shared" si="1"/>
        <v>0</v>
      </c>
      <c r="J13" s="65">
        <f t="shared" si="1"/>
        <v>0</v>
      </c>
      <c r="K13" s="65">
        <f t="shared" si="1"/>
        <v>0</v>
      </c>
      <c r="L13" s="65">
        <f t="shared" si="1"/>
        <v>0</v>
      </c>
      <c r="M13" s="65">
        <f t="shared" si="1"/>
        <v>0</v>
      </c>
      <c r="N13" s="65">
        <f t="shared" si="1"/>
        <v>5493553</v>
      </c>
      <c r="O13" s="65">
        <f t="shared" si="1"/>
        <v>0</v>
      </c>
      <c r="P13" s="65">
        <f t="shared" si="1"/>
        <v>0</v>
      </c>
      <c r="Q13" s="65">
        <f t="shared" si="1"/>
        <v>0</v>
      </c>
      <c r="R13" s="65">
        <f t="shared" si="1"/>
        <v>0</v>
      </c>
      <c r="T13" s="87">
        <f t="shared" si="2"/>
        <v>0</v>
      </c>
    </row>
    <row r="14" spans="1:20" x14ac:dyDescent="0.25">
      <c r="A14" s="81">
        <v>447.03</v>
      </c>
      <c r="B14" s="79" t="s">
        <v>496</v>
      </c>
      <c r="C14" s="80" t="s">
        <v>31</v>
      </c>
      <c r="D14" s="19">
        <v>8</v>
      </c>
      <c r="F14" s="82">
        <v>324341.16000000003</v>
      </c>
      <c r="G14" s="65">
        <f t="shared" si="1"/>
        <v>0</v>
      </c>
      <c r="H14" s="65">
        <f t="shared" si="1"/>
        <v>0</v>
      </c>
      <c r="I14" s="65">
        <f t="shared" si="1"/>
        <v>0</v>
      </c>
      <c r="J14" s="65">
        <f t="shared" si="1"/>
        <v>0</v>
      </c>
      <c r="K14" s="65">
        <f t="shared" si="1"/>
        <v>0</v>
      </c>
      <c r="L14" s="65">
        <f t="shared" si="1"/>
        <v>0</v>
      </c>
      <c r="M14" s="65">
        <f t="shared" si="1"/>
        <v>0</v>
      </c>
      <c r="N14" s="65">
        <f t="shared" si="1"/>
        <v>0</v>
      </c>
      <c r="O14" s="65">
        <f t="shared" si="1"/>
        <v>0</v>
      </c>
      <c r="P14" s="65">
        <f t="shared" si="1"/>
        <v>0</v>
      </c>
      <c r="Q14" s="65">
        <f t="shared" si="1"/>
        <v>0</v>
      </c>
      <c r="R14" s="65">
        <f t="shared" si="1"/>
        <v>324341.16000000003</v>
      </c>
      <c r="T14" s="87">
        <f t="shared" si="2"/>
        <v>0</v>
      </c>
    </row>
    <row r="15" spans="1:20" x14ac:dyDescent="0.25">
      <c r="A15" s="83"/>
      <c r="B15" s="24" t="s">
        <v>491</v>
      </c>
      <c r="C15" s="26"/>
      <c r="D15" s="54"/>
      <c r="E15" s="54"/>
      <c r="F15" s="84">
        <f>SUM(F11:F14)</f>
        <v>1997002383.9412322</v>
      </c>
      <c r="G15" s="84">
        <f t="shared" ref="G15:R15" si="3">SUM(G11:G14)</f>
        <v>1105896513.2900393</v>
      </c>
      <c r="H15" s="84">
        <f t="shared" si="3"/>
        <v>263390391.2140398</v>
      </c>
      <c r="I15" s="84">
        <f t="shared" si="3"/>
        <v>270703257.2199825</v>
      </c>
      <c r="J15" s="84">
        <f t="shared" si="3"/>
        <v>160280839.13024956</v>
      </c>
      <c r="K15" s="84">
        <f t="shared" si="3"/>
        <v>113255219.09203497</v>
      </c>
      <c r="L15" s="84">
        <f t="shared" si="3"/>
        <v>268014.00021779712</v>
      </c>
      <c r="M15" s="84">
        <f t="shared" si="3"/>
        <v>10687146.00868473</v>
      </c>
      <c r="N15" s="84">
        <f t="shared" si="3"/>
        <v>5493553</v>
      </c>
      <c r="O15" s="84">
        <f t="shared" si="3"/>
        <v>40128244.032609545</v>
      </c>
      <c r="P15" s="84">
        <f t="shared" si="3"/>
        <v>10117371.780000001</v>
      </c>
      <c r="Q15" s="84">
        <f t="shared" si="3"/>
        <v>16457494.013373908</v>
      </c>
      <c r="R15" s="84">
        <f t="shared" si="3"/>
        <v>324341.16000000003</v>
      </c>
      <c r="T15" s="87">
        <f t="shared" si="2"/>
        <v>0</v>
      </c>
    </row>
    <row r="16" spans="1:20" x14ac:dyDescent="0.25">
      <c r="A16" s="81"/>
      <c r="B16" s="79"/>
      <c r="C16" s="80"/>
      <c r="F16" s="82"/>
      <c r="T16" s="87">
        <f t="shared" si="2"/>
        <v>0</v>
      </c>
    </row>
    <row r="17" spans="1:20" x14ac:dyDescent="0.25">
      <c r="A17" s="81"/>
      <c r="B17" s="20" t="s">
        <v>497</v>
      </c>
      <c r="C17" s="80"/>
      <c r="F17" s="82"/>
      <c r="T17" s="87">
        <f t="shared" si="2"/>
        <v>0</v>
      </c>
    </row>
    <row r="18" spans="1:20" x14ac:dyDescent="0.25">
      <c r="A18" s="81">
        <v>447.07</v>
      </c>
      <c r="B18" s="79" t="s">
        <v>498</v>
      </c>
      <c r="C18" s="80" t="s">
        <v>186</v>
      </c>
      <c r="D18" s="19">
        <v>73</v>
      </c>
      <c r="F18" s="82">
        <v>5469488.0226491988</v>
      </c>
      <c r="G18" s="65">
        <f t="shared" ref="G18:R18" si="4">INDEX(Alloc,($D18),(G$1))*$F18</f>
        <v>2882952.4314700756</v>
      </c>
      <c r="H18" s="65">
        <f t="shared" si="4"/>
        <v>724358.04342279374</v>
      </c>
      <c r="I18" s="65">
        <f t="shared" si="4"/>
        <v>802202.61397954659</v>
      </c>
      <c r="J18" s="65">
        <f t="shared" si="4"/>
        <v>507443.61591371079</v>
      </c>
      <c r="K18" s="65">
        <f t="shared" si="4"/>
        <v>353530.71012916713</v>
      </c>
      <c r="L18" s="65">
        <f t="shared" si="4"/>
        <v>1017.0452463412464</v>
      </c>
      <c r="M18" s="65">
        <f t="shared" si="4"/>
        <v>28039.979511848538</v>
      </c>
      <c r="N18" s="65">
        <f t="shared" si="4"/>
        <v>0</v>
      </c>
      <c r="O18" s="65">
        <f t="shared" si="4"/>
        <v>150061.00554546656</v>
      </c>
      <c r="P18" s="65">
        <f t="shared" si="4"/>
        <v>0</v>
      </c>
      <c r="Q18" s="65">
        <f t="shared" si="4"/>
        <v>18019.763521166904</v>
      </c>
      <c r="R18" s="65">
        <f t="shared" si="4"/>
        <v>1862.8139090817247</v>
      </c>
      <c r="T18" s="87">
        <f t="shared" si="2"/>
        <v>0</v>
      </c>
    </row>
    <row r="19" spans="1:20" x14ac:dyDescent="0.25">
      <c r="A19" s="81">
        <v>449.01</v>
      </c>
      <c r="B19" s="79" t="s">
        <v>499</v>
      </c>
      <c r="C19" s="80" t="s">
        <v>164</v>
      </c>
      <c r="D19" s="19">
        <v>76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T19" s="87">
        <f t="shared" si="2"/>
        <v>0</v>
      </c>
    </row>
    <row r="20" spans="1:20" x14ac:dyDescent="0.25">
      <c r="A20" s="83"/>
      <c r="B20" s="24" t="s">
        <v>500</v>
      </c>
      <c r="C20" s="26"/>
      <c r="D20" s="54"/>
      <c r="E20" s="54"/>
      <c r="F20" s="84">
        <f>SUM(F18:F19)</f>
        <v>5469488.0226491988</v>
      </c>
      <c r="G20" s="84">
        <f t="shared" ref="G20:R20" si="5">SUM(G18:G19)</f>
        <v>2882952.4314700756</v>
      </c>
      <c r="H20" s="84">
        <f t="shared" si="5"/>
        <v>724358.04342279374</v>
      </c>
      <c r="I20" s="84">
        <f t="shared" si="5"/>
        <v>802202.61397954659</v>
      </c>
      <c r="J20" s="84">
        <f t="shared" si="5"/>
        <v>507443.61591371079</v>
      </c>
      <c r="K20" s="84">
        <f t="shared" si="5"/>
        <v>353530.71012916713</v>
      </c>
      <c r="L20" s="84">
        <f t="shared" si="5"/>
        <v>1017.0452463412464</v>
      </c>
      <c r="M20" s="84">
        <f t="shared" si="5"/>
        <v>28039.979511848538</v>
      </c>
      <c r="N20" s="84">
        <f t="shared" si="5"/>
        <v>0</v>
      </c>
      <c r="O20" s="84">
        <f t="shared" si="5"/>
        <v>150061.00554546656</v>
      </c>
      <c r="P20" s="84">
        <f t="shared" si="5"/>
        <v>0</v>
      </c>
      <c r="Q20" s="84">
        <f t="shared" si="5"/>
        <v>18019.763521166904</v>
      </c>
      <c r="R20" s="84">
        <f t="shared" si="5"/>
        <v>1862.8139090817247</v>
      </c>
      <c r="T20" s="87">
        <f t="shared" si="2"/>
        <v>0</v>
      </c>
    </row>
    <row r="21" spans="1:20" x14ac:dyDescent="0.25">
      <c r="A21" s="81"/>
      <c r="B21" s="79"/>
      <c r="C21" s="80"/>
      <c r="F21" s="82"/>
      <c r="T21" s="87">
        <f t="shared" si="2"/>
        <v>0</v>
      </c>
    </row>
    <row r="22" spans="1:20" x14ac:dyDescent="0.25">
      <c r="A22" s="81"/>
      <c r="B22" s="20" t="s">
        <v>501</v>
      </c>
      <c r="C22" s="80"/>
      <c r="F22" s="82"/>
      <c r="T22" s="87">
        <f t="shared" si="2"/>
        <v>0</v>
      </c>
    </row>
    <row r="23" spans="1:20" x14ac:dyDescent="0.25">
      <c r="A23" s="81">
        <v>450.01</v>
      </c>
      <c r="B23" s="79" t="s">
        <v>502</v>
      </c>
      <c r="C23" s="80" t="s">
        <v>41</v>
      </c>
      <c r="D23" s="19">
        <v>13</v>
      </c>
      <c r="F23" s="82">
        <v>2151272.19</v>
      </c>
      <c r="G23" s="65">
        <f t="shared" ref="G23:R32" si="6">INDEX(Alloc,($D23),(G$1))*$F23</f>
        <v>1682000.0314221452</v>
      </c>
      <c r="H23" s="65">
        <f t="shared" si="6"/>
        <v>246772.06005798699</v>
      </c>
      <c r="I23" s="65">
        <f t="shared" si="6"/>
        <v>90978.809853960847</v>
      </c>
      <c r="J23" s="65">
        <f t="shared" si="6"/>
        <v>23981.165497099108</v>
      </c>
      <c r="K23" s="65">
        <f t="shared" si="6"/>
        <v>20156.079805606169</v>
      </c>
      <c r="L23" s="65">
        <f t="shared" si="6"/>
        <v>0</v>
      </c>
      <c r="M23" s="65">
        <f t="shared" si="6"/>
        <v>143.12822117685513</v>
      </c>
      <c r="N23" s="65">
        <f t="shared" si="6"/>
        <v>0</v>
      </c>
      <c r="O23" s="65">
        <f t="shared" si="6"/>
        <v>2769.0559110449281</v>
      </c>
      <c r="P23" s="65">
        <f t="shared" si="6"/>
        <v>1992.4596373803079</v>
      </c>
      <c r="Q23" s="65">
        <f t="shared" si="6"/>
        <v>82443.94920878431</v>
      </c>
      <c r="R23" s="65">
        <f t="shared" si="6"/>
        <v>35.45038481510101</v>
      </c>
      <c r="T23" s="87">
        <f t="shared" si="2"/>
        <v>0</v>
      </c>
    </row>
    <row r="24" spans="1:20" x14ac:dyDescent="0.25">
      <c r="A24" s="81">
        <v>450.02</v>
      </c>
      <c r="B24" s="79" t="s">
        <v>503</v>
      </c>
      <c r="C24" s="80" t="s">
        <v>43</v>
      </c>
      <c r="D24" s="19">
        <v>14</v>
      </c>
      <c r="F24" s="82">
        <v>300105</v>
      </c>
      <c r="G24" s="65">
        <f t="shared" si="6"/>
        <v>282133.59501320246</v>
      </c>
      <c r="H24" s="65">
        <f t="shared" si="6"/>
        <v>17480.221151217647</v>
      </c>
      <c r="I24" s="65">
        <f t="shared" si="6"/>
        <v>375.26239800345462</v>
      </c>
      <c r="J24" s="65">
        <f t="shared" si="6"/>
        <v>25.521719781163704</v>
      </c>
      <c r="K24" s="65">
        <f t="shared" si="6"/>
        <v>0</v>
      </c>
      <c r="L24" s="65">
        <f t="shared" si="6"/>
        <v>0</v>
      </c>
      <c r="M24" s="65">
        <f t="shared" si="6"/>
        <v>0</v>
      </c>
      <c r="N24" s="65">
        <f t="shared" si="6"/>
        <v>0</v>
      </c>
      <c r="O24" s="65">
        <f t="shared" si="6"/>
        <v>0</v>
      </c>
      <c r="P24" s="65">
        <f t="shared" si="6"/>
        <v>0</v>
      </c>
      <c r="Q24" s="65">
        <f t="shared" si="6"/>
        <v>90.399717795231368</v>
      </c>
      <c r="R24" s="65">
        <f t="shared" si="6"/>
        <v>0</v>
      </c>
      <c r="T24" s="87">
        <f t="shared" si="2"/>
        <v>0</v>
      </c>
    </row>
    <row r="25" spans="1:20" x14ac:dyDescent="0.25">
      <c r="A25" s="81">
        <v>451.01</v>
      </c>
      <c r="B25" s="79" t="s">
        <v>504</v>
      </c>
      <c r="C25" s="80" t="s">
        <v>19</v>
      </c>
      <c r="D25" s="19">
        <v>2</v>
      </c>
      <c r="F25" s="82">
        <v>1314247.8600000001</v>
      </c>
      <c r="G25" s="65">
        <f t="shared" si="6"/>
        <v>1163836.3305712002</v>
      </c>
      <c r="H25" s="65">
        <f t="shared" si="6"/>
        <v>140039.67072588278</v>
      </c>
      <c r="I25" s="65">
        <f t="shared" si="6"/>
        <v>9402.1601655134709</v>
      </c>
      <c r="J25" s="65">
        <f t="shared" si="6"/>
        <v>969.69853740352073</v>
      </c>
      <c r="K25" s="65">
        <f t="shared" si="6"/>
        <v>0</v>
      </c>
      <c r="L25" s="65">
        <f t="shared" si="6"/>
        <v>0</v>
      </c>
      <c r="M25" s="65">
        <f t="shared" si="6"/>
        <v>0</v>
      </c>
      <c r="N25" s="65">
        <f t="shared" si="6"/>
        <v>0</v>
      </c>
      <c r="O25" s="65">
        <f t="shared" si="6"/>
        <v>0</v>
      </c>
      <c r="P25" s="65">
        <f t="shared" si="6"/>
        <v>0</v>
      </c>
      <c r="Q25" s="65">
        <f t="shared" si="6"/>
        <v>0</v>
      </c>
      <c r="R25" s="65">
        <f t="shared" si="6"/>
        <v>0</v>
      </c>
      <c r="T25" s="87">
        <f t="shared" si="2"/>
        <v>0</v>
      </c>
    </row>
    <row r="26" spans="1:20" x14ac:dyDescent="0.25">
      <c r="A26" s="81">
        <v>451.02</v>
      </c>
      <c r="B26" s="79" t="s">
        <v>505</v>
      </c>
      <c r="C26" s="80" t="s">
        <v>45</v>
      </c>
      <c r="D26" s="19">
        <v>15</v>
      </c>
      <c r="F26" s="82">
        <v>1460925</v>
      </c>
      <c r="G26" s="65">
        <f t="shared" si="6"/>
        <v>1427015.4038714194</v>
      </c>
      <c r="H26" s="65">
        <f t="shared" si="6"/>
        <v>33196.437261315725</v>
      </c>
      <c r="I26" s="65">
        <f t="shared" si="6"/>
        <v>713.15886726491715</v>
      </c>
      <c r="J26" s="65">
        <f t="shared" si="6"/>
        <v>0</v>
      </c>
      <c r="K26" s="65">
        <f t="shared" si="6"/>
        <v>0</v>
      </c>
      <c r="L26" s="65">
        <f t="shared" si="6"/>
        <v>0</v>
      </c>
      <c r="M26" s="65">
        <f t="shared" si="6"/>
        <v>0</v>
      </c>
      <c r="N26" s="65">
        <f t="shared" si="6"/>
        <v>0</v>
      </c>
      <c r="O26" s="65">
        <f t="shared" si="6"/>
        <v>0</v>
      </c>
      <c r="P26" s="65">
        <f t="shared" si="6"/>
        <v>0</v>
      </c>
      <c r="Q26" s="65">
        <f t="shared" si="6"/>
        <v>0</v>
      </c>
      <c r="R26" s="65">
        <f t="shared" si="6"/>
        <v>0</v>
      </c>
      <c r="T26" s="87">
        <f t="shared" si="2"/>
        <v>0</v>
      </c>
    </row>
    <row r="27" spans="1:20" x14ac:dyDescent="0.25">
      <c r="A27" s="81">
        <v>451.03</v>
      </c>
      <c r="B27" s="79" t="s">
        <v>506</v>
      </c>
      <c r="C27" s="80" t="s">
        <v>19</v>
      </c>
      <c r="D27" s="19">
        <v>2</v>
      </c>
      <c r="F27" s="82">
        <v>1019248.82</v>
      </c>
      <c r="G27" s="65">
        <f t="shared" si="6"/>
        <v>902599.00184111821</v>
      </c>
      <c r="H27" s="65">
        <f t="shared" si="6"/>
        <v>108606.05026250113</v>
      </c>
      <c r="I27" s="65">
        <f t="shared" si="6"/>
        <v>7291.7300806185904</v>
      </c>
      <c r="J27" s="65">
        <f t="shared" si="6"/>
        <v>752.03781576198594</v>
      </c>
      <c r="K27" s="65">
        <f t="shared" si="6"/>
        <v>0</v>
      </c>
      <c r="L27" s="65">
        <f t="shared" si="6"/>
        <v>0</v>
      </c>
      <c r="M27" s="65">
        <f t="shared" si="6"/>
        <v>0</v>
      </c>
      <c r="N27" s="65">
        <f t="shared" si="6"/>
        <v>0</v>
      </c>
      <c r="O27" s="65">
        <f t="shared" si="6"/>
        <v>0</v>
      </c>
      <c r="P27" s="65">
        <f t="shared" si="6"/>
        <v>0</v>
      </c>
      <c r="Q27" s="65">
        <f t="shared" si="6"/>
        <v>0</v>
      </c>
      <c r="R27" s="65">
        <f t="shared" si="6"/>
        <v>0</v>
      </c>
      <c r="T27" s="87">
        <f t="shared" si="2"/>
        <v>0</v>
      </c>
    </row>
    <row r="28" spans="1:20" x14ac:dyDescent="0.25">
      <c r="A28" s="81">
        <v>451.04</v>
      </c>
      <c r="B28" s="79" t="s">
        <v>507</v>
      </c>
      <c r="C28" s="80" t="s">
        <v>19</v>
      </c>
      <c r="D28" s="19">
        <v>2</v>
      </c>
      <c r="F28" s="82">
        <v>1400595.91</v>
      </c>
      <c r="G28" s="65">
        <f t="shared" si="6"/>
        <v>1240302.1181312259</v>
      </c>
      <c r="H28" s="65">
        <f t="shared" si="6"/>
        <v>149240.48653685319</v>
      </c>
      <c r="I28" s="65">
        <f t="shared" si="6"/>
        <v>10019.896150322124</v>
      </c>
      <c r="J28" s="65">
        <f t="shared" si="6"/>
        <v>1033.4091815986317</v>
      </c>
      <c r="K28" s="65">
        <f t="shared" si="6"/>
        <v>0</v>
      </c>
      <c r="L28" s="65">
        <f t="shared" si="6"/>
        <v>0</v>
      </c>
      <c r="M28" s="65">
        <f t="shared" si="6"/>
        <v>0</v>
      </c>
      <c r="N28" s="65">
        <f t="shared" si="6"/>
        <v>0</v>
      </c>
      <c r="O28" s="65">
        <f t="shared" si="6"/>
        <v>0</v>
      </c>
      <c r="P28" s="65">
        <f t="shared" si="6"/>
        <v>0</v>
      </c>
      <c r="Q28" s="65">
        <f t="shared" si="6"/>
        <v>0</v>
      </c>
      <c r="R28" s="65">
        <f t="shared" si="6"/>
        <v>0</v>
      </c>
      <c r="T28" s="87">
        <f t="shared" si="2"/>
        <v>0</v>
      </c>
    </row>
    <row r="29" spans="1:20" x14ac:dyDescent="0.25">
      <c r="A29" s="81">
        <v>451.05</v>
      </c>
      <c r="B29" s="79" t="s">
        <v>508</v>
      </c>
      <c r="C29" s="80" t="s">
        <v>47</v>
      </c>
      <c r="D29" s="19">
        <v>16</v>
      </c>
      <c r="F29" s="82">
        <v>1397401.6500000001</v>
      </c>
      <c r="G29" s="65">
        <f t="shared" si="6"/>
        <v>1278832.2590385026</v>
      </c>
      <c r="H29" s="65">
        <f t="shared" si="6"/>
        <v>114731.54108620971</v>
      </c>
      <c r="I29" s="65">
        <f t="shared" si="6"/>
        <v>3468.8857686581096</v>
      </c>
      <c r="J29" s="65">
        <f t="shared" si="6"/>
        <v>250.97610780520577</v>
      </c>
      <c r="K29" s="65">
        <f t="shared" si="6"/>
        <v>116.58173849707869</v>
      </c>
      <c r="L29" s="65">
        <f t="shared" si="6"/>
        <v>0</v>
      </c>
      <c r="M29" s="65">
        <f t="shared" si="6"/>
        <v>0</v>
      </c>
      <c r="N29" s="65">
        <f t="shared" si="6"/>
        <v>0</v>
      </c>
      <c r="O29" s="65">
        <f t="shared" si="6"/>
        <v>1.4062603271880352</v>
      </c>
      <c r="P29" s="65">
        <f t="shared" si="6"/>
        <v>0</v>
      </c>
      <c r="Q29" s="65">
        <f t="shared" si="6"/>
        <v>0</v>
      </c>
      <c r="R29" s="65">
        <f t="shared" si="6"/>
        <v>0</v>
      </c>
      <c r="T29" s="87">
        <f t="shared" si="2"/>
        <v>0</v>
      </c>
    </row>
    <row r="30" spans="1:20" x14ac:dyDescent="0.25">
      <c r="A30" s="81">
        <v>451.06</v>
      </c>
      <c r="B30" s="79" t="s">
        <v>509</v>
      </c>
      <c r="C30" s="80" t="s">
        <v>49</v>
      </c>
      <c r="D30" s="19">
        <v>17</v>
      </c>
      <c r="F30" s="82">
        <v>181120</v>
      </c>
      <c r="G30" s="65">
        <f t="shared" si="6"/>
        <v>118842.15861422563</v>
      </c>
      <c r="H30" s="65">
        <f t="shared" si="6"/>
        <v>45107.426253109639</v>
      </c>
      <c r="I30" s="65">
        <f t="shared" si="6"/>
        <v>16734.210831967026</v>
      </c>
      <c r="J30" s="65">
        <f t="shared" si="6"/>
        <v>0</v>
      </c>
      <c r="K30" s="65">
        <f t="shared" si="6"/>
        <v>0</v>
      </c>
      <c r="L30" s="65">
        <f t="shared" si="6"/>
        <v>0</v>
      </c>
      <c r="M30" s="65">
        <f t="shared" si="6"/>
        <v>0</v>
      </c>
      <c r="N30" s="65">
        <f t="shared" si="6"/>
        <v>0</v>
      </c>
      <c r="O30" s="65">
        <f t="shared" si="6"/>
        <v>0</v>
      </c>
      <c r="P30" s="65">
        <f t="shared" si="6"/>
        <v>0</v>
      </c>
      <c r="Q30" s="65">
        <f t="shared" si="6"/>
        <v>436.20430069769515</v>
      </c>
      <c r="R30" s="65">
        <f t="shared" si="6"/>
        <v>0</v>
      </c>
      <c r="T30" s="87">
        <f t="shared" si="2"/>
        <v>0</v>
      </c>
    </row>
    <row r="31" spans="1:20" x14ac:dyDescent="0.25">
      <c r="A31" s="81">
        <v>451.07</v>
      </c>
      <c r="B31" s="79" t="s">
        <v>510</v>
      </c>
      <c r="C31" s="80" t="s">
        <v>35</v>
      </c>
      <c r="D31" s="19">
        <v>10</v>
      </c>
      <c r="F31" s="82">
        <v>4847787.22</v>
      </c>
      <c r="G31" s="65">
        <f t="shared" si="6"/>
        <v>2078045.791041679</v>
      </c>
      <c r="H31" s="65">
        <f t="shared" si="6"/>
        <v>2578749.6422657338</v>
      </c>
      <c r="I31" s="65">
        <f t="shared" si="6"/>
        <v>173135.3482742928</v>
      </c>
      <c r="J31" s="65">
        <f t="shared" si="6"/>
        <v>17856.438418294281</v>
      </c>
      <c r="K31" s="65">
        <f t="shared" si="6"/>
        <v>0</v>
      </c>
      <c r="L31" s="65">
        <f t="shared" si="6"/>
        <v>0</v>
      </c>
      <c r="M31" s="65">
        <f t="shared" si="6"/>
        <v>0</v>
      </c>
      <c r="N31" s="65">
        <f t="shared" si="6"/>
        <v>0</v>
      </c>
      <c r="O31" s="65">
        <f t="shared" si="6"/>
        <v>0</v>
      </c>
      <c r="P31" s="65">
        <f t="shared" si="6"/>
        <v>0</v>
      </c>
      <c r="Q31" s="65">
        <f t="shared" si="6"/>
        <v>0</v>
      </c>
      <c r="R31" s="65">
        <f t="shared" si="6"/>
        <v>0</v>
      </c>
      <c r="T31" s="87">
        <f t="shared" si="2"/>
        <v>0</v>
      </c>
    </row>
    <row r="32" spans="1:20" x14ac:dyDescent="0.25">
      <c r="A32" s="81">
        <v>451.08</v>
      </c>
      <c r="B32" s="79" t="s">
        <v>511</v>
      </c>
      <c r="C32" s="80" t="s">
        <v>19</v>
      </c>
      <c r="D32" s="19">
        <v>2</v>
      </c>
      <c r="F32" s="82">
        <v>616489.76</v>
      </c>
      <c r="G32" s="65">
        <f t="shared" si="6"/>
        <v>545934.44809803215</v>
      </c>
      <c r="H32" s="65">
        <f t="shared" si="6"/>
        <v>65690.061687662543</v>
      </c>
      <c r="I32" s="65">
        <f t="shared" si="6"/>
        <v>4410.382272883412</v>
      </c>
      <c r="J32" s="65">
        <f t="shared" si="6"/>
        <v>454.86794142183157</v>
      </c>
      <c r="K32" s="65">
        <f t="shared" si="6"/>
        <v>0</v>
      </c>
      <c r="L32" s="65">
        <f t="shared" si="6"/>
        <v>0</v>
      </c>
      <c r="M32" s="65">
        <f t="shared" si="6"/>
        <v>0</v>
      </c>
      <c r="N32" s="65">
        <f t="shared" si="6"/>
        <v>0</v>
      </c>
      <c r="O32" s="65">
        <f t="shared" si="6"/>
        <v>0</v>
      </c>
      <c r="P32" s="65">
        <f t="shared" si="6"/>
        <v>0</v>
      </c>
      <c r="Q32" s="65">
        <f t="shared" si="6"/>
        <v>0</v>
      </c>
      <c r="R32" s="65">
        <f t="shared" si="6"/>
        <v>0</v>
      </c>
      <c r="T32" s="87">
        <f t="shared" si="2"/>
        <v>0</v>
      </c>
    </row>
    <row r="33" spans="1:20" x14ac:dyDescent="0.25">
      <c r="A33" s="81">
        <v>454.01</v>
      </c>
      <c r="B33" s="79" t="s">
        <v>512</v>
      </c>
      <c r="C33" s="80" t="s">
        <v>158</v>
      </c>
      <c r="D33" s="19">
        <v>73</v>
      </c>
      <c r="F33" s="82">
        <v>63960.97</v>
      </c>
      <c r="G33" s="65">
        <f t="shared" ref="G33:R42" si="7">INDEX(Alloc,($D33),(G$1))*$F33</f>
        <v>33713.655321503094</v>
      </c>
      <c r="H33" s="65">
        <f t="shared" si="7"/>
        <v>8470.7458710519895</v>
      </c>
      <c r="I33" s="65">
        <f t="shared" si="7"/>
        <v>9381.0713387054893</v>
      </c>
      <c r="J33" s="65">
        <f t="shared" si="7"/>
        <v>5934.1177382134065</v>
      </c>
      <c r="K33" s="65">
        <f t="shared" si="7"/>
        <v>4134.2383511972548</v>
      </c>
      <c r="L33" s="65">
        <f t="shared" si="7"/>
        <v>11.893471604745722</v>
      </c>
      <c r="M33" s="65">
        <f t="shared" si="7"/>
        <v>327.90350411797363</v>
      </c>
      <c r="N33" s="65">
        <f t="shared" si="7"/>
        <v>0</v>
      </c>
      <c r="O33" s="65">
        <f t="shared" si="7"/>
        <v>1754.8347183717781</v>
      </c>
      <c r="P33" s="65">
        <f t="shared" si="7"/>
        <v>0</v>
      </c>
      <c r="Q33" s="65">
        <f t="shared" si="7"/>
        <v>210.72567472708289</v>
      </c>
      <c r="R33" s="65">
        <f t="shared" si="7"/>
        <v>21.784010507193457</v>
      </c>
      <c r="T33" s="87">
        <f t="shared" si="2"/>
        <v>0</v>
      </c>
    </row>
    <row r="34" spans="1:20" x14ac:dyDescent="0.25">
      <c r="A34" s="81">
        <v>454.02</v>
      </c>
      <c r="B34" s="79" t="s">
        <v>513</v>
      </c>
      <c r="C34" s="80" t="s">
        <v>186</v>
      </c>
      <c r="D34" s="19">
        <v>73</v>
      </c>
      <c r="F34" s="82">
        <v>5198339.0243848944</v>
      </c>
      <c r="G34" s="65">
        <f t="shared" si="7"/>
        <v>2740030.5234962977</v>
      </c>
      <c r="H34" s="65">
        <f t="shared" si="7"/>
        <v>688448.1087003022</v>
      </c>
      <c r="I34" s="65">
        <f t="shared" si="7"/>
        <v>762433.54706051818</v>
      </c>
      <c r="J34" s="65">
        <f t="shared" si="7"/>
        <v>482287.17941346689</v>
      </c>
      <c r="K34" s="65">
        <f t="shared" si="7"/>
        <v>336004.48143824819</v>
      </c>
      <c r="L34" s="65">
        <f t="shared" si="7"/>
        <v>966.6253901146797</v>
      </c>
      <c r="M34" s="65">
        <f t="shared" si="7"/>
        <v>26649.901990057613</v>
      </c>
      <c r="N34" s="65">
        <f t="shared" si="7"/>
        <v>0</v>
      </c>
      <c r="O34" s="65">
        <f t="shared" si="7"/>
        <v>142621.75507747129</v>
      </c>
      <c r="P34" s="65">
        <f t="shared" si="7"/>
        <v>0</v>
      </c>
      <c r="Q34" s="65">
        <f t="shared" si="7"/>
        <v>17126.436612415862</v>
      </c>
      <c r="R34" s="65">
        <f t="shared" si="7"/>
        <v>1770.4652060022593</v>
      </c>
      <c r="T34" s="87">
        <f t="shared" si="2"/>
        <v>0</v>
      </c>
    </row>
    <row r="35" spans="1:20" x14ac:dyDescent="0.25">
      <c r="A35" s="81">
        <v>454.03</v>
      </c>
      <c r="B35" s="79" t="s">
        <v>514</v>
      </c>
      <c r="C35" s="80" t="s">
        <v>126</v>
      </c>
      <c r="D35" s="19">
        <v>57</v>
      </c>
      <c r="F35" s="82">
        <v>7250767.7256151056</v>
      </c>
      <c r="G35" s="65">
        <f t="shared" si="7"/>
        <v>4996898.8833602183</v>
      </c>
      <c r="H35" s="65">
        <f t="shared" si="7"/>
        <v>913019.55681884463</v>
      </c>
      <c r="I35" s="65">
        <f t="shared" si="7"/>
        <v>709808.33032390254</v>
      </c>
      <c r="J35" s="65">
        <f t="shared" si="7"/>
        <v>280789.05110883276</v>
      </c>
      <c r="K35" s="65">
        <f t="shared" si="7"/>
        <v>262831.01905233652</v>
      </c>
      <c r="L35" s="65">
        <f t="shared" si="7"/>
        <v>6583.1553037601743</v>
      </c>
      <c r="M35" s="65">
        <f t="shared" si="7"/>
        <v>70827.177526959582</v>
      </c>
      <c r="N35" s="65">
        <f t="shared" si="7"/>
        <v>616.44775979620681</v>
      </c>
      <c r="O35" s="65">
        <f t="shared" si="7"/>
        <v>0</v>
      </c>
      <c r="P35" s="65">
        <f t="shared" si="7"/>
        <v>0</v>
      </c>
      <c r="Q35" s="65">
        <f t="shared" si="7"/>
        <v>4391.1976196541873</v>
      </c>
      <c r="R35" s="65">
        <f t="shared" si="7"/>
        <v>5002.9067408000446</v>
      </c>
      <c r="T35" s="87">
        <f t="shared" si="2"/>
        <v>0</v>
      </c>
    </row>
    <row r="36" spans="1:20" x14ac:dyDescent="0.25">
      <c r="A36" s="81">
        <v>454.04</v>
      </c>
      <c r="B36" s="79" t="s">
        <v>515</v>
      </c>
      <c r="C36" s="80" t="s">
        <v>162</v>
      </c>
      <c r="D36" s="19">
        <v>75</v>
      </c>
      <c r="F36" s="82">
        <v>1222583.4099999999</v>
      </c>
      <c r="G36" s="65">
        <f t="shared" si="7"/>
        <v>707064.60303537128</v>
      </c>
      <c r="H36" s="65">
        <f t="shared" si="7"/>
        <v>152847.40176498299</v>
      </c>
      <c r="I36" s="65">
        <f t="shared" si="7"/>
        <v>150276.49738370493</v>
      </c>
      <c r="J36" s="65">
        <f t="shared" si="7"/>
        <v>85108.767888225702</v>
      </c>
      <c r="K36" s="65">
        <f t="shared" si="7"/>
        <v>63073.826767652106</v>
      </c>
      <c r="L36" s="65">
        <f t="shared" si="7"/>
        <v>335.28493990102675</v>
      </c>
      <c r="M36" s="65">
        <f t="shared" si="7"/>
        <v>8034.1418229241408</v>
      </c>
      <c r="N36" s="65">
        <f t="shared" si="7"/>
        <v>8321.1084761817438</v>
      </c>
      <c r="O36" s="65">
        <f t="shared" si="7"/>
        <v>21451.386623686125</v>
      </c>
      <c r="P36" s="65">
        <f t="shared" si="7"/>
        <v>13459.282555575326</v>
      </c>
      <c r="Q36" s="65">
        <f t="shared" si="7"/>
        <v>12216.993161543331</v>
      </c>
      <c r="R36" s="65">
        <f t="shared" si="7"/>
        <v>394.11558025135059</v>
      </c>
      <c r="T36" s="87">
        <f t="shared" si="2"/>
        <v>0</v>
      </c>
    </row>
    <row r="37" spans="1:20" x14ac:dyDescent="0.25">
      <c r="A37" s="81">
        <v>454.05</v>
      </c>
      <c r="B37" s="79" t="s">
        <v>516</v>
      </c>
      <c r="C37" s="80" t="s">
        <v>110</v>
      </c>
      <c r="D37" s="19">
        <v>49</v>
      </c>
      <c r="F37" s="82">
        <v>4617136.54</v>
      </c>
      <c r="G37" s="65">
        <f t="shared" si="7"/>
        <v>0</v>
      </c>
      <c r="H37" s="65">
        <f t="shared" si="7"/>
        <v>0</v>
      </c>
      <c r="I37" s="65">
        <f t="shared" si="7"/>
        <v>0</v>
      </c>
      <c r="J37" s="65">
        <f t="shared" si="7"/>
        <v>0</v>
      </c>
      <c r="K37" s="65">
        <f t="shared" si="7"/>
        <v>468375.93387140846</v>
      </c>
      <c r="L37" s="65">
        <f t="shared" si="7"/>
        <v>0</v>
      </c>
      <c r="M37" s="65">
        <f t="shared" si="7"/>
        <v>12923.534641993068</v>
      </c>
      <c r="N37" s="65">
        <f t="shared" si="7"/>
        <v>81219.139100116154</v>
      </c>
      <c r="O37" s="65">
        <f t="shared" si="7"/>
        <v>2993777.697343145</v>
      </c>
      <c r="P37" s="65">
        <f t="shared" si="7"/>
        <v>1057271.7356903262</v>
      </c>
      <c r="Q37" s="65">
        <f t="shared" si="7"/>
        <v>0</v>
      </c>
      <c r="R37" s="65">
        <f t="shared" si="7"/>
        <v>3568.4993530114925</v>
      </c>
      <c r="T37" s="87">
        <f t="shared" si="2"/>
        <v>0</v>
      </c>
    </row>
    <row r="38" spans="1:20" x14ac:dyDescent="0.25">
      <c r="A38" s="81">
        <v>456.01</v>
      </c>
      <c r="B38" s="79" t="s">
        <v>517</v>
      </c>
      <c r="C38" s="80" t="s">
        <v>186</v>
      </c>
      <c r="D38" s="19">
        <v>73</v>
      </c>
      <c r="F38" s="82">
        <v>20178764.97850965</v>
      </c>
      <c r="G38" s="65">
        <f t="shared" si="7"/>
        <v>10636172.767534515</v>
      </c>
      <c r="H38" s="65">
        <f t="shared" si="7"/>
        <v>2672398.3411233299</v>
      </c>
      <c r="I38" s="65">
        <f t="shared" si="7"/>
        <v>2959592.917217656</v>
      </c>
      <c r="J38" s="65">
        <f t="shared" si="7"/>
        <v>1872128.6933924481</v>
      </c>
      <c r="K38" s="65">
        <f t="shared" si="7"/>
        <v>1304292.6655732493</v>
      </c>
      <c r="L38" s="65">
        <f t="shared" si="7"/>
        <v>3752.2190218619567</v>
      </c>
      <c r="M38" s="65">
        <f t="shared" si="7"/>
        <v>103448.83364380435</v>
      </c>
      <c r="N38" s="65">
        <f t="shared" si="7"/>
        <v>0</v>
      </c>
      <c r="O38" s="65">
        <f t="shared" si="7"/>
        <v>553625.0835181718</v>
      </c>
      <c r="P38" s="65">
        <f t="shared" si="7"/>
        <v>0</v>
      </c>
      <c r="Q38" s="65">
        <f t="shared" si="7"/>
        <v>66480.915865654883</v>
      </c>
      <c r="R38" s="65">
        <f t="shared" si="7"/>
        <v>6872.5416189598373</v>
      </c>
      <c r="T38" s="87">
        <f t="shared" si="2"/>
        <v>0</v>
      </c>
    </row>
    <row r="39" spans="1:20" x14ac:dyDescent="0.25">
      <c r="A39" s="81">
        <v>456.02</v>
      </c>
      <c r="B39" s="79" t="s">
        <v>518</v>
      </c>
      <c r="C39" s="80" t="s">
        <v>154</v>
      </c>
      <c r="D39" s="19">
        <v>71</v>
      </c>
      <c r="F39" s="82">
        <v>402045.72</v>
      </c>
      <c r="G39" s="65">
        <f t="shared" si="7"/>
        <v>269685.81888924731</v>
      </c>
      <c r="H39" s="65">
        <f t="shared" si="7"/>
        <v>48465.821084218143</v>
      </c>
      <c r="I39" s="65">
        <f t="shared" si="7"/>
        <v>42644.346547962065</v>
      </c>
      <c r="J39" s="65">
        <f t="shared" si="7"/>
        <v>18017.485049120824</v>
      </c>
      <c r="K39" s="65">
        <f t="shared" si="7"/>
        <v>13987.651871784623</v>
      </c>
      <c r="L39" s="65">
        <f t="shared" si="7"/>
        <v>228.99461800217341</v>
      </c>
      <c r="M39" s="65">
        <f t="shared" si="7"/>
        <v>4155.3882843911306</v>
      </c>
      <c r="N39" s="65">
        <f t="shared" si="7"/>
        <v>3614.2776513847375</v>
      </c>
      <c r="O39" s="65">
        <f t="shared" si="7"/>
        <v>874.67400555202073</v>
      </c>
      <c r="P39" s="65">
        <f t="shared" si="7"/>
        <v>5.256292399199622</v>
      </c>
      <c r="Q39" s="65">
        <f t="shared" si="7"/>
        <v>202.3633321183928</v>
      </c>
      <c r="R39" s="65">
        <f t="shared" si="7"/>
        <v>163.6423738193086</v>
      </c>
      <c r="T39" s="87">
        <f t="shared" si="2"/>
        <v>0</v>
      </c>
    </row>
    <row r="40" spans="1:20" x14ac:dyDescent="0.25">
      <c r="A40" s="81">
        <v>456.03</v>
      </c>
      <c r="B40" s="79" t="s">
        <v>519</v>
      </c>
      <c r="C40" s="80" t="s">
        <v>152</v>
      </c>
      <c r="D40" s="19">
        <v>70</v>
      </c>
      <c r="F40" s="82">
        <v>403943.36</v>
      </c>
      <c r="G40" s="65">
        <f t="shared" si="7"/>
        <v>245922.77308907433</v>
      </c>
      <c r="H40" s="65">
        <f t="shared" si="7"/>
        <v>48879.771132398433</v>
      </c>
      <c r="I40" s="65">
        <f t="shared" si="7"/>
        <v>44367.507440659458</v>
      </c>
      <c r="J40" s="65">
        <f t="shared" si="7"/>
        <v>25237.472834751297</v>
      </c>
      <c r="K40" s="65">
        <f t="shared" si="7"/>
        <v>18853.090798315494</v>
      </c>
      <c r="L40" s="65">
        <f t="shared" si="7"/>
        <v>98.899828253510492</v>
      </c>
      <c r="M40" s="65">
        <f t="shared" si="7"/>
        <v>2377.4371989379129</v>
      </c>
      <c r="N40" s="65">
        <f t="shared" si="7"/>
        <v>2461.0180780912174</v>
      </c>
      <c r="O40" s="65">
        <f t="shared" si="7"/>
        <v>6317.7856253733989</v>
      </c>
      <c r="P40" s="65">
        <f t="shared" si="7"/>
        <v>3771.2849815613858</v>
      </c>
      <c r="Q40" s="65">
        <f t="shared" si="7"/>
        <v>5540.6505646190726</v>
      </c>
      <c r="R40" s="65">
        <f t="shared" si="7"/>
        <v>115.66842796456115</v>
      </c>
      <c r="T40" s="87">
        <f t="shared" si="2"/>
        <v>0</v>
      </c>
    </row>
    <row r="41" spans="1:20" x14ac:dyDescent="0.25">
      <c r="A41" s="81">
        <v>456.04</v>
      </c>
      <c r="B41" s="79" t="s">
        <v>520</v>
      </c>
      <c r="C41" s="80" t="s">
        <v>126</v>
      </c>
      <c r="D41" s="19">
        <v>57</v>
      </c>
      <c r="F41" s="82">
        <v>35693.46</v>
      </c>
      <c r="G41" s="65">
        <f t="shared" si="7"/>
        <v>24598.306988537832</v>
      </c>
      <c r="H41" s="65">
        <f t="shared" si="7"/>
        <v>4494.5346842932477</v>
      </c>
      <c r="I41" s="65">
        <f t="shared" si="7"/>
        <v>3494.1838167810997</v>
      </c>
      <c r="J41" s="65">
        <f t="shared" si="7"/>
        <v>1382.2443558334853</v>
      </c>
      <c r="K41" s="65">
        <f t="shared" si="7"/>
        <v>1293.8420895985828</v>
      </c>
      <c r="L41" s="65">
        <f t="shared" si="7"/>
        <v>32.406994597060809</v>
      </c>
      <c r="M41" s="65">
        <f t="shared" si="7"/>
        <v>348.66197948120964</v>
      </c>
      <c r="N41" s="65">
        <f t="shared" si="7"/>
        <v>3.0345963750354339</v>
      </c>
      <c r="O41" s="65">
        <f t="shared" si="7"/>
        <v>0</v>
      </c>
      <c r="P41" s="65">
        <f t="shared" si="7"/>
        <v>0</v>
      </c>
      <c r="Q41" s="65">
        <f t="shared" si="7"/>
        <v>21.616612546490785</v>
      </c>
      <c r="R41" s="65">
        <f t="shared" si="7"/>
        <v>24.627881955952191</v>
      </c>
      <c r="T41" s="87">
        <f t="shared" si="2"/>
        <v>0</v>
      </c>
    </row>
    <row r="42" spans="1:20" x14ac:dyDescent="0.25">
      <c r="A42" s="81">
        <v>456.05</v>
      </c>
      <c r="B42" s="79" t="s">
        <v>521</v>
      </c>
      <c r="C42" s="80" t="s">
        <v>158</v>
      </c>
      <c r="D42" s="19">
        <v>73</v>
      </c>
      <c r="F42" s="82">
        <v>21415123.754653767</v>
      </c>
      <c r="G42" s="65">
        <f t="shared" si="7"/>
        <v>11287854.154365236</v>
      </c>
      <c r="H42" s="65">
        <f t="shared" si="7"/>
        <v>2836136.9616939947</v>
      </c>
      <c r="I42" s="65">
        <f t="shared" si="7"/>
        <v>3140928.0326676341</v>
      </c>
      <c r="J42" s="65">
        <f t="shared" si="7"/>
        <v>1986834.5608036618</v>
      </c>
      <c r="K42" s="65">
        <f t="shared" si="7"/>
        <v>1384207.0550544332</v>
      </c>
      <c r="L42" s="65">
        <f t="shared" si="7"/>
        <v>3982.1185683720896</v>
      </c>
      <c r="M42" s="65">
        <f t="shared" si="7"/>
        <v>109787.17365091597</v>
      </c>
      <c r="N42" s="65">
        <f t="shared" si="7"/>
        <v>0</v>
      </c>
      <c r="O42" s="65">
        <f t="shared" si="7"/>
        <v>587545.85277388094</v>
      </c>
      <c r="P42" s="65">
        <f t="shared" si="7"/>
        <v>0</v>
      </c>
      <c r="Q42" s="65">
        <f t="shared" si="7"/>
        <v>70554.220840668859</v>
      </c>
      <c r="R42" s="65">
        <f t="shared" si="7"/>
        <v>7293.6242349705744</v>
      </c>
      <c r="T42" s="87">
        <f t="shared" si="2"/>
        <v>0</v>
      </c>
    </row>
    <row r="43" spans="1:20" x14ac:dyDescent="0.25">
      <c r="A43" s="81">
        <v>456.06</v>
      </c>
      <c r="B43" s="79" t="s">
        <v>522</v>
      </c>
      <c r="C43" s="80" t="s">
        <v>186</v>
      </c>
      <c r="D43" s="19">
        <v>73</v>
      </c>
      <c r="F43" s="82">
        <v>0</v>
      </c>
      <c r="G43" s="65">
        <f t="shared" ref="G43:R53" si="8">INDEX(Alloc,($D43),(G$1))*$F43</f>
        <v>0</v>
      </c>
      <c r="H43" s="65">
        <f t="shared" si="8"/>
        <v>0</v>
      </c>
      <c r="I43" s="65">
        <f t="shared" si="8"/>
        <v>0</v>
      </c>
      <c r="J43" s="65">
        <f t="shared" si="8"/>
        <v>0</v>
      </c>
      <c r="K43" s="65">
        <f t="shared" si="8"/>
        <v>0</v>
      </c>
      <c r="L43" s="65">
        <f t="shared" si="8"/>
        <v>0</v>
      </c>
      <c r="M43" s="65">
        <f t="shared" si="8"/>
        <v>0</v>
      </c>
      <c r="N43" s="65">
        <f t="shared" si="8"/>
        <v>0</v>
      </c>
      <c r="O43" s="65">
        <f t="shared" si="8"/>
        <v>0</v>
      </c>
      <c r="P43" s="65">
        <f t="shared" si="8"/>
        <v>0</v>
      </c>
      <c r="Q43" s="65">
        <f t="shared" si="8"/>
        <v>0</v>
      </c>
      <c r="R43" s="65">
        <f t="shared" si="8"/>
        <v>0</v>
      </c>
      <c r="T43" s="87">
        <f t="shared" si="2"/>
        <v>0</v>
      </c>
    </row>
    <row r="44" spans="1:20" x14ac:dyDescent="0.25">
      <c r="A44" s="81">
        <v>456.07</v>
      </c>
      <c r="B44" s="79" t="s">
        <v>523</v>
      </c>
      <c r="C44" s="80" t="s">
        <v>158</v>
      </c>
      <c r="D44" s="19">
        <v>73</v>
      </c>
      <c r="F44" s="82">
        <v>16227.01</v>
      </c>
      <c r="G44" s="65">
        <f t="shared" si="8"/>
        <v>8553.21334305255</v>
      </c>
      <c r="H44" s="65">
        <f t="shared" si="8"/>
        <v>2149.0430485500665</v>
      </c>
      <c r="I44" s="65">
        <f t="shared" si="8"/>
        <v>2379.9942124687504</v>
      </c>
      <c r="J44" s="65">
        <f t="shared" si="8"/>
        <v>1505.4960529705277</v>
      </c>
      <c r="K44" s="65">
        <f t="shared" si="8"/>
        <v>1048.863503278036</v>
      </c>
      <c r="L44" s="65">
        <f t="shared" si="8"/>
        <v>3.017394555850621</v>
      </c>
      <c r="M44" s="65">
        <f t="shared" si="8"/>
        <v>83.189692719753921</v>
      </c>
      <c r="N44" s="65">
        <f t="shared" si="8"/>
        <v>0</v>
      </c>
      <c r="O44" s="65">
        <f t="shared" si="8"/>
        <v>445.2046384438201</v>
      </c>
      <c r="P44" s="65">
        <f t="shared" si="8"/>
        <v>0</v>
      </c>
      <c r="Q44" s="65">
        <f t="shared" si="8"/>
        <v>53.461472380001759</v>
      </c>
      <c r="R44" s="65">
        <f t="shared" si="8"/>
        <v>5.5266415806441538</v>
      </c>
      <c r="T44" s="87">
        <f t="shared" si="2"/>
        <v>0</v>
      </c>
    </row>
    <row r="45" spans="1:20" x14ac:dyDescent="0.25">
      <c r="A45" s="81">
        <v>456.08</v>
      </c>
      <c r="B45" s="79" t="s">
        <v>524</v>
      </c>
      <c r="C45" s="80" t="s">
        <v>39</v>
      </c>
      <c r="D45" s="19">
        <v>12</v>
      </c>
      <c r="F45" s="82">
        <v>1720.49</v>
      </c>
      <c r="G45" s="65">
        <f t="shared" si="8"/>
        <v>0</v>
      </c>
      <c r="H45" s="65">
        <f t="shared" si="8"/>
        <v>0</v>
      </c>
      <c r="I45" s="65">
        <f t="shared" si="8"/>
        <v>0</v>
      </c>
      <c r="J45" s="65">
        <f t="shared" si="8"/>
        <v>0</v>
      </c>
      <c r="K45" s="65">
        <f t="shared" si="8"/>
        <v>0</v>
      </c>
      <c r="L45" s="65">
        <f t="shared" si="8"/>
        <v>0</v>
      </c>
      <c r="M45" s="65">
        <f t="shared" si="8"/>
        <v>0</v>
      </c>
      <c r="N45" s="65">
        <f t="shared" si="8"/>
        <v>0</v>
      </c>
      <c r="O45" s="65">
        <f t="shared" si="8"/>
        <v>0</v>
      </c>
      <c r="P45" s="65">
        <f t="shared" si="8"/>
        <v>0</v>
      </c>
      <c r="Q45" s="65">
        <f t="shared" si="8"/>
        <v>1720.49</v>
      </c>
      <c r="R45" s="65">
        <f t="shared" si="8"/>
        <v>0</v>
      </c>
      <c r="T45" s="87">
        <f t="shared" si="2"/>
        <v>0</v>
      </c>
    </row>
    <row r="46" spans="1:20" x14ac:dyDescent="0.25">
      <c r="A46" s="81">
        <v>456.09</v>
      </c>
      <c r="B46" s="79" t="s">
        <v>525</v>
      </c>
      <c r="C46" s="80" t="s">
        <v>186</v>
      </c>
      <c r="D46" s="19">
        <v>73</v>
      </c>
      <c r="F46" s="82">
        <v>0</v>
      </c>
      <c r="G46" s="65">
        <f t="shared" si="8"/>
        <v>0</v>
      </c>
      <c r="H46" s="65">
        <f t="shared" si="8"/>
        <v>0</v>
      </c>
      <c r="I46" s="65">
        <f t="shared" si="8"/>
        <v>0</v>
      </c>
      <c r="J46" s="65">
        <f t="shared" si="8"/>
        <v>0</v>
      </c>
      <c r="K46" s="65">
        <f t="shared" si="8"/>
        <v>0</v>
      </c>
      <c r="L46" s="65">
        <f t="shared" si="8"/>
        <v>0</v>
      </c>
      <c r="M46" s="65">
        <f t="shared" si="8"/>
        <v>0</v>
      </c>
      <c r="N46" s="65">
        <f t="shared" si="8"/>
        <v>0</v>
      </c>
      <c r="O46" s="65">
        <f t="shared" si="8"/>
        <v>0</v>
      </c>
      <c r="P46" s="65">
        <f t="shared" si="8"/>
        <v>0</v>
      </c>
      <c r="Q46" s="65">
        <f t="shared" si="8"/>
        <v>0</v>
      </c>
      <c r="R46" s="65">
        <f t="shared" si="8"/>
        <v>0</v>
      </c>
      <c r="T46" s="87">
        <f t="shared" si="2"/>
        <v>0</v>
      </c>
    </row>
    <row r="47" spans="1:20" x14ac:dyDescent="0.25">
      <c r="A47" s="81">
        <v>456.1</v>
      </c>
      <c r="B47" s="79" t="s">
        <v>526</v>
      </c>
      <c r="C47" s="80" t="s">
        <v>186</v>
      </c>
      <c r="D47" s="19">
        <v>73</v>
      </c>
      <c r="F47" s="82">
        <v>81157.8</v>
      </c>
      <c r="G47" s="65">
        <f t="shared" si="8"/>
        <v>42778.05817909709</v>
      </c>
      <c r="H47" s="65">
        <f t="shared" si="8"/>
        <v>10748.228165608856</v>
      </c>
      <c r="I47" s="65">
        <f t="shared" si="8"/>
        <v>11903.307774919493</v>
      </c>
      <c r="J47" s="65">
        <f t="shared" si="8"/>
        <v>7529.5909454527655</v>
      </c>
      <c r="K47" s="65">
        <f t="shared" si="8"/>
        <v>5245.7880056977956</v>
      </c>
      <c r="L47" s="65">
        <f t="shared" si="8"/>
        <v>15.091203116582385</v>
      </c>
      <c r="M47" s="65">
        <f t="shared" si="8"/>
        <v>416.06509417392641</v>
      </c>
      <c r="N47" s="65">
        <f t="shared" si="8"/>
        <v>0</v>
      </c>
      <c r="O47" s="65">
        <f t="shared" si="8"/>
        <v>2226.6473617687957</v>
      </c>
      <c r="P47" s="65">
        <f t="shared" si="8"/>
        <v>0</v>
      </c>
      <c r="Q47" s="65">
        <f t="shared" si="8"/>
        <v>267.38231400126745</v>
      </c>
      <c r="R47" s="65">
        <f t="shared" si="8"/>
        <v>27.640956163433813</v>
      </c>
      <c r="T47" s="87">
        <f t="shared" si="2"/>
        <v>0</v>
      </c>
    </row>
    <row r="48" spans="1:20" x14ac:dyDescent="0.25">
      <c r="A48" s="81">
        <v>456.11</v>
      </c>
      <c r="B48" s="79" t="s">
        <v>527</v>
      </c>
      <c r="C48" s="80" t="s">
        <v>186</v>
      </c>
      <c r="D48" s="19">
        <v>73</v>
      </c>
      <c r="F48" s="82">
        <v>-117872.25000000012</v>
      </c>
      <c r="G48" s="65">
        <f t="shared" si="8"/>
        <v>-62130.146063607957</v>
      </c>
      <c r="H48" s="65">
        <f t="shared" si="8"/>
        <v>-15610.549292781345</v>
      </c>
      <c r="I48" s="65">
        <f t="shared" si="8"/>
        <v>-17288.167863991577</v>
      </c>
      <c r="J48" s="65">
        <f t="shared" si="8"/>
        <v>-10935.853686523607</v>
      </c>
      <c r="K48" s="65">
        <f t="shared" si="8"/>
        <v>-7618.8959687745673</v>
      </c>
      <c r="L48" s="65">
        <f t="shared" si="8"/>
        <v>-21.918214473021443</v>
      </c>
      <c r="M48" s="65">
        <f t="shared" si="8"/>
        <v>-604.28607967124094</v>
      </c>
      <c r="N48" s="65">
        <f t="shared" si="8"/>
        <v>0</v>
      </c>
      <c r="O48" s="65">
        <f t="shared" si="8"/>
        <v>-3233.9458990787352</v>
      </c>
      <c r="P48" s="65">
        <f t="shared" si="8"/>
        <v>0</v>
      </c>
      <c r="Q48" s="65">
        <f t="shared" si="8"/>
        <v>-388.34166231139739</v>
      </c>
      <c r="R48" s="65">
        <f t="shared" si="8"/>
        <v>-40.145268786676262</v>
      </c>
      <c r="T48" s="87">
        <f t="shared" si="2"/>
        <v>0</v>
      </c>
    </row>
    <row r="49" spans="1:20" x14ac:dyDescent="0.25">
      <c r="A49" s="81">
        <v>456.12</v>
      </c>
      <c r="B49" s="79" t="s">
        <v>528</v>
      </c>
      <c r="C49" s="80" t="s">
        <v>158</v>
      </c>
      <c r="D49" s="19">
        <v>73</v>
      </c>
      <c r="F49" s="82">
        <v>305.69</v>
      </c>
      <c r="G49" s="65">
        <f t="shared" si="8"/>
        <v>161.12837712170844</v>
      </c>
      <c r="H49" s="65">
        <f t="shared" si="8"/>
        <v>40.48441268670382</v>
      </c>
      <c r="I49" s="65">
        <f t="shared" si="8"/>
        <v>44.835150210024665</v>
      </c>
      <c r="J49" s="65">
        <f t="shared" si="8"/>
        <v>28.361052863870828</v>
      </c>
      <c r="K49" s="65">
        <f t="shared" si="8"/>
        <v>19.758851711871923</v>
      </c>
      <c r="L49" s="65">
        <f t="shared" si="8"/>
        <v>5.6842717282973035E-2</v>
      </c>
      <c r="M49" s="65">
        <f t="shared" si="8"/>
        <v>1.5671560667986018</v>
      </c>
      <c r="N49" s="65">
        <f t="shared" si="8"/>
        <v>0</v>
      </c>
      <c r="O49" s="65">
        <f t="shared" si="8"/>
        <v>8.386918226209966</v>
      </c>
      <c r="P49" s="65">
        <f t="shared" si="8"/>
        <v>0</v>
      </c>
      <c r="Q49" s="65">
        <f t="shared" si="8"/>
        <v>1.0071256190661582</v>
      </c>
      <c r="R49" s="65">
        <f t="shared" si="8"/>
        <v>0.1041127764626454</v>
      </c>
      <c r="T49" s="87">
        <f t="shared" si="2"/>
        <v>0</v>
      </c>
    </row>
    <row r="50" spans="1:20" x14ac:dyDescent="0.25">
      <c r="A50" s="81">
        <v>456.13</v>
      </c>
      <c r="B50" s="79" t="s">
        <v>529</v>
      </c>
      <c r="C50" s="80" t="s">
        <v>148</v>
      </c>
      <c r="D50" s="19">
        <v>68</v>
      </c>
      <c r="F50" s="82">
        <v>223368.24</v>
      </c>
      <c r="G50" s="65">
        <f t="shared" si="8"/>
        <v>148520.32296934654</v>
      </c>
      <c r="H50" s="65">
        <f t="shared" si="8"/>
        <v>26477.500454998029</v>
      </c>
      <c r="I50" s="65">
        <f t="shared" si="8"/>
        <v>21021.552168605554</v>
      </c>
      <c r="J50" s="65">
        <f t="shared" si="8"/>
        <v>8951.6301243299458</v>
      </c>
      <c r="K50" s="65">
        <f t="shared" si="8"/>
        <v>7888.1154469677931</v>
      </c>
      <c r="L50" s="65">
        <f t="shared" si="8"/>
        <v>89.952070511980949</v>
      </c>
      <c r="M50" s="65">
        <f t="shared" si="8"/>
        <v>1951.3189178543187</v>
      </c>
      <c r="N50" s="65">
        <f t="shared" si="8"/>
        <v>2685.7217182009381</v>
      </c>
      <c r="O50" s="65">
        <f t="shared" si="8"/>
        <v>1023.5371916217449</v>
      </c>
      <c r="P50" s="65">
        <f t="shared" si="8"/>
        <v>353.63654310359431</v>
      </c>
      <c r="Q50" s="65">
        <f t="shared" si="8"/>
        <v>4336.4106975163595</v>
      </c>
      <c r="R50" s="65">
        <f t="shared" si="8"/>
        <v>68.541696943158058</v>
      </c>
      <c r="T50" s="87">
        <f t="shared" si="2"/>
        <v>0</v>
      </c>
    </row>
    <row r="51" spans="1:20" x14ac:dyDescent="0.25">
      <c r="A51" s="81">
        <v>456.14</v>
      </c>
      <c r="B51" s="79" t="s">
        <v>530</v>
      </c>
      <c r="C51" s="80" t="s">
        <v>148</v>
      </c>
      <c r="D51" s="19">
        <v>68</v>
      </c>
      <c r="F51" s="82">
        <v>138492.68999999575</v>
      </c>
      <c r="G51" s="65">
        <f t="shared" si="8"/>
        <v>92085.513355403426</v>
      </c>
      <c r="H51" s="65">
        <f t="shared" si="8"/>
        <v>16416.56961835214</v>
      </c>
      <c r="I51" s="65">
        <f t="shared" si="8"/>
        <v>13033.774666467478</v>
      </c>
      <c r="J51" s="65">
        <f t="shared" si="8"/>
        <v>5550.1862565754682</v>
      </c>
      <c r="K51" s="65">
        <f t="shared" si="8"/>
        <v>4890.7862965705799</v>
      </c>
      <c r="L51" s="65">
        <f t="shared" si="8"/>
        <v>55.772048059623593</v>
      </c>
      <c r="M51" s="65">
        <f t="shared" si="8"/>
        <v>1209.8560027223448</v>
      </c>
      <c r="N51" s="65">
        <f t="shared" si="8"/>
        <v>1665.2001436957128</v>
      </c>
      <c r="O51" s="65">
        <f t="shared" si="8"/>
        <v>634.61313471752555</v>
      </c>
      <c r="P51" s="65">
        <f t="shared" si="8"/>
        <v>219.26159303899348</v>
      </c>
      <c r="Q51" s="65">
        <f t="shared" si="8"/>
        <v>2688.6596878938499</v>
      </c>
      <c r="R51" s="65">
        <f t="shared" si="8"/>
        <v>42.497196498582099</v>
      </c>
      <c r="T51" s="87">
        <f t="shared" si="2"/>
        <v>0</v>
      </c>
    </row>
    <row r="52" spans="1:20" x14ac:dyDescent="0.25">
      <c r="A52" s="81">
        <v>456.15</v>
      </c>
      <c r="B52" s="79" t="s">
        <v>531</v>
      </c>
      <c r="C52" s="80" t="s">
        <v>27</v>
      </c>
      <c r="D52" s="19">
        <v>6</v>
      </c>
      <c r="F52" s="82">
        <v>0</v>
      </c>
      <c r="G52" s="65">
        <f t="shared" si="8"/>
        <v>0</v>
      </c>
      <c r="H52" s="65">
        <f t="shared" si="8"/>
        <v>0</v>
      </c>
      <c r="I52" s="65">
        <f t="shared" si="8"/>
        <v>0</v>
      </c>
      <c r="J52" s="65">
        <f t="shared" si="8"/>
        <v>0</v>
      </c>
      <c r="K52" s="65">
        <f t="shared" si="8"/>
        <v>0</v>
      </c>
      <c r="L52" s="65">
        <f t="shared" si="8"/>
        <v>0</v>
      </c>
      <c r="M52" s="65">
        <f t="shared" si="8"/>
        <v>0</v>
      </c>
      <c r="N52" s="65">
        <f t="shared" si="8"/>
        <v>0</v>
      </c>
      <c r="O52" s="65">
        <f t="shared" si="8"/>
        <v>0</v>
      </c>
      <c r="P52" s="65">
        <f t="shared" si="8"/>
        <v>0</v>
      </c>
      <c r="Q52" s="65">
        <f t="shared" si="8"/>
        <v>0</v>
      </c>
      <c r="R52" s="65">
        <f t="shared" si="8"/>
        <v>0</v>
      </c>
      <c r="T52" s="87">
        <f t="shared" si="2"/>
        <v>0</v>
      </c>
    </row>
    <row r="53" spans="1:20" x14ac:dyDescent="0.25">
      <c r="A53" s="81">
        <v>456.16</v>
      </c>
      <c r="B53" s="79" t="s">
        <v>532</v>
      </c>
      <c r="C53" s="80" t="s">
        <v>25</v>
      </c>
      <c r="D53" s="19">
        <v>5</v>
      </c>
      <c r="F53" s="82">
        <v>1010226.96</v>
      </c>
      <c r="G53" s="65">
        <f t="shared" si="8"/>
        <v>0</v>
      </c>
      <c r="H53" s="65">
        <f t="shared" si="8"/>
        <v>0</v>
      </c>
      <c r="I53" s="65">
        <f t="shared" si="8"/>
        <v>0</v>
      </c>
      <c r="J53" s="65">
        <f t="shared" si="8"/>
        <v>0</v>
      </c>
      <c r="K53" s="65">
        <f t="shared" si="8"/>
        <v>0</v>
      </c>
      <c r="L53" s="65">
        <f t="shared" si="8"/>
        <v>0</v>
      </c>
      <c r="M53" s="65">
        <f t="shared" si="8"/>
        <v>0</v>
      </c>
      <c r="N53" s="65">
        <f t="shared" si="8"/>
        <v>1010226.96</v>
      </c>
      <c r="O53" s="65">
        <f t="shared" si="8"/>
        <v>0</v>
      </c>
      <c r="P53" s="65">
        <f t="shared" si="8"/>
        <v>0</v>
      </c>
      <c r="Q53" s="65">
        <f t="shared" si="8"/>
        <v>0</v>
      </c>
      <c r="R53" s="65">
        <f t="shared" si="8"/>
        <v>0</v>
      </c>
      <c r="T53" s="87">
        <f t="shared" si="2"/>
        <v>0</v>
      </c>
    </row>
    <row r="54" spans="1:20" x14ac:dyDescent="0.25">
      <c r="A54" s="83"/>
      <c r="B54" s="24" t="s">
        <v>533</v>
      </c>
      <c r="C54" s="26"/>
      <c r="D54" s="54"/>
      <c r="E54" s="54"/>
      <c r="F54" s="84">
        <f>SUM(F23:F53)</f>
        <v>76831178.983163401</v>
      </c>
      <c r="G54" s="84">
        <f t="shared" ref="G54:R54" si="9">SUM(G23:G53)</f>
        <v>41891450.713883169</v>
      </c>
      <c r="H54" s="84">
        <f t="shared" si="9"/>
        <v>10912996.116569305</v>
      </c>
      <c r="I54" s="84">
        <f t="shared" si="9"/>
        <v>8170551.5745696891</v>
      </c>
      <c r="J54" s="84">
        <f t="shared" si="9"/>
        <v>4815673.0985493883</v>
      </c>
      <c r="K54" s="84">
        <f t="shared" si="9"/>
        <v>3888800.8825477795</v>
      </c>
      <c r="L54" s="84">
        <f t="shared" si="9"/>
        <v>16133.569480955715</v>
      </c>
      <c r="M54" s="84">
        <f t="shared" si="9"/>
        <v>342080.99324862577</v>
      </c>
      <c r="N54" s="84">
        <f t="shared" si="9"/>
        <v>1110812.9075238416</v>
      </c>
      <c r="O54" s="84">
        <f t="shared" si="9"/>
        <v>4311843.9752027243</v>
      </c>
      <c r="P54" s="84">
        <f t="shared" si="9"/>
        <v>1077072.9172933849</v>
      </c>
      <c r="Q54" s="84">
        <f t="shared" si="9"/>
        <v>268394.74314632459</v>
      </c>
      <c r="R54" s="84">
        <f t="shared" si="9"/>
        <v>25367.491148233275</v>
      </c>
      <c r="T54" s="87">
        <f t="shared" si="2"/>
        <v>0</v>
      </c>
    </row>
    <row r="55" spans="1:20" x14ac:dyDescent="0.25">
      <c r="A55" s="81"/>
      <c r="B55" s="79"/>
      <c r="C55" s="80"/>
      <c r="F55" s="82"/>
      <c r="T55" s="87">
        <f t="shared" si="2"/>
        <v>0</v>
      </c>
    </row>
    <row r="56" spans="1:20" ht="15.75" thickBot="1" x14ac:dyDescent="0.3">
      <c r="A56" s="85"/>
      <c r="B56" s="28" t="s">
        <v>534</v>
      </c>
      <c r="C56" s="30"/>
      <c r="D56" s="54"/>
      <c r="E56" s="54"/>
      <c r="F56" s="84">
        <f>SUM(F15,F20,F54)</f>
        <v>2079303050.9470448</v>
      </c>
      <c r="G56" s="84">
        <f t="shared" ref="G56:R56" si="10">SUM(G15,G20,G54)</f>
        <v>1150670916.4353926</v>
      </c>
      <c r="H56" s="84">
        <f t="shared" si="10"/>
        <v>275027745.3740319</v>
      </c>
      <c r="I56" s="84">
        <f t="shared" si="10"/>
        <v>279676011.40853173</v>
      </c>
      <c r="J56" s="84">
        <f t="shared" si="10"/>
        <v>165603955.84471267</v>
      </c>
      <c r="K56" s="84">
        <f t="shared" si="10"/>
        <v>117497550.68471192</v>
      </c>
      <c r="L56" s="84">
        <f t="shared" si="10"/>
        <v>285164.6149450941</v>
      </c>
      <c r="M56" s="84">
        <f t="shared" si="10"/>
        <v>11057266.981445204</v>
      </c>
      <c r="N56" s="84">
        <f t="shared" si="10"/>
        <v>6604365.9075238416</v>
      </c>
      <c r="O56" s="84">
        <f t="shared" si="10"/>
        <v>44590149.013357736</v>
      </c>
      <c r="P56" s="84">
        <f t="shared" si="10"/>
        <v>11194444.697293386</v>
      </c>
      <c r="Q56" s="84">
        <f t="shared" si="10"/>
        <v>16743908.520041399</v>
      </c>
      <c r="R56" s="84">
        <f t="shared" si="10"/>
        <v>351571.46505731507</v>
      </c>
      <c r="T56" s="87">
        <f t="shared" si="2"/>
        <v>0</v>
      </c>
    </row>
    <row r="57" spans="1:20" ht="15.75" thickTop="1" x14ac:dyDescent="0.25">
      <c r="A57" s="81"/>
      <c r="B57" s="79"/>
      <c r="C57" s="80"/>
      <c r="F57" s="82"/>
      <c r="T57" s="87">
        <f t="shared" si="2"/>
        <v>0</v>
      </c>
    </row>
    <row r="58" spans="1:20" x14ac:dyDescent="0.25">
      <c r="A58" s="81"/>
      <c r="B58" s="79"/>
      <c r="C58" s="80"/>
      <c r="F58" s="82">
        <v>2079303050.9470448</v>
      </c>
      <c r="T58" s="87">
        <f t="shared" si="2"/>
        <v>-2079303050.9470448</v>
      </c>
    </row>
    <row r="59" spans="1:20" x14ac:dyDescent="0.25">
      <c r="A59" s="79"/>
      <c r="B59" s="79"/>
      <c r="C59" s="80"/>
      <c r="F59" s="8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9AB3-3786-4753-8019-6E025C52BCA5}">
  <dimension ref="A1:Y95"/>
  <sheetViews>
    <sheetView topLeftCell="A2" zoomScale="85" zoomScaleNormal="85" workbookViewId="0">
      <pane xSplit="2" ySplit="2" topLeftCell="I51" activePane="bottomRight" state="frozen"/>
      <selection activeCell="A2" sqref="A2"/>
      <selection pane="topRight" activeCell="C2" sqref="C2"/>
      <selection pane="bottomLeft" activeCell="A4" sqref="A4"/>
      <selection pane="bottomRight" activeCell="K60" sqref="K60:L89"/>
    </sheetView>
  </sheetViews>
  <sheetFormatPr defaultRowHeight="15" x14ac:dyDescent="0.25"/>
  <cols>
    <col min="1" max="1" width="15.28515625" style="13" bestFit="1" customWidth="1"/>
    <col min="2" max="2" width="92.85546875" style="13" bestFit="1" customWidth="1"/>
    <col min="3" max="3" width="42.85546875" style="13" bestFit="1" customWidth="1"/>
    <col min="4" max="5" width="15" style="13" bestFit="1" customWidth="1"/>
    <col min="6" max="6" width="17.85546875" style="13" bestFit="1" customWidth="1"/>
    <col min="7" max="8" width="17.7109375" style="13" bestFit="1" customWidth="1"/>
    <col min="9" max="10" width="16.42578125" style="13" bestFit="1" customWidth="1"/>
    <col min="11" max="12" width="16.42578125" style="13" customWidth="1"/>
    <col min="13" max="13" width="15.28515625" style="13" bestFit="1" customWidth="1"/>
    <col min="14" max="14" width="16.42578125" style="13" bestFit="1" customWidth="1"/>
    <col min="15" max="15" width="16.28515625" style="13" bestFit="1" customWidth="1"/>
    <col min="16" max="16" width="16" style="13" bestFit="1" customWidth="1"/>
    <col min="17" max="17" width="14.28515625" style="13" bestFit="1" customWidth="1"/>
    <col min="18" max="18" width="9.140625" style="13"/>
    <col min="19" max="19" width="14" style="13" bestFit="1" customWidth="1"/>
    <col min="20" max="20" width="10.28515625" style="13" bestFit="1" customWidth="1"/>
    <col min="21" max="21" width="12.28515625" style="13" bestFit="1" customWidth="1"/>
    <col min="22" max="23" width="9.140625" style="13"/>
    <col min="24" max="24" width="15.28515625" style="13" bestFit="1" customWidth="1"/>
    <col min="25" max="25" width="16.42578125" style="13" customWidth="1"/>
    <col min="26" max="16384" width="9.140625" style="13"/>
  </cols>
  <sheetData>
    <row r="1" spans="2:25" customFormat="1" x14ac:dyDescent="0.25"/>
    <row r="2" spans="2:25" customFormat="1" x14ac:dyDescent="0.25">
      <c r="S2" s="141" t="s">
        <v>118</v>
      </c>
      <c r="T2" s="141"/>
      <c r="U2" s="141"/>
    </row>
    <row r="3" spans="2:25" customFormat="1" ht="26.25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38" t="s">
        <v>579</v>
      </c>
      <c r="K3" s="138" t="s">
        <v>580</v>
      </c>
      <c r="L3" s="138" t="s">
        <v>581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S3" s="2" t="s">
        <v>6</v>
      </c>
      <c r="T3" s="2" t="s">
        <v>7</v>
      </c>
      <c r="U3" s="2" t="s">
        <v>8</v>
      </c>
      <c r="X3" t="s">
        <v>1</v>
      </c>
    </row>
    <row r="4" spans="2:25" customForma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  <c r="T4" s="2"/>
      <c r="U4" s="2"/>
    </row>
    <row r="5" spans="2:25" customFormat="1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</row>
    <row r="6" spans="2:25" customFormat="1" x14ac:dyDescent="0.25">
      <c r="B6" s="4"/>
      <c r="C6" s="3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5"/>
      <c r="T6" s="5"/>
      <c r="U6" s="5"/>
    </row>
    <row r="7" spans="2:25" customFormat="1" x14ac:dyDescent="0.25">
      <c r="B7" s="6" t="s">
        <v>17</v>
      </c>
      <c r="C7" s="6" t="s">
        <v>16</v>
      </c>
      <c r="D7" s="6">
        <v>1</v>
      </c>
      <c r="E7" s="9">
        <v>1149791</v>
      </c>
      <c r="F7" s="9">
        <v>1010572</v>
      </c>
      <c r="G7" s="9">
        <v>121598</v>
      </c>
      <c r="H7" s="9">
        <v>8164</v>
      </c>
      <c r="I7" s="9">
        <v>842</v>
      </c>
      <c r="J7" s="9">
        <v>487</v>
      </c>
      <c r="K7" s="9">
        <v>2</v>
      </c>
      <c r="L7" s="9">
        <v>155</v>
      </c>
      <c r="M7" s="9">
        <v>93</v>
      </c>
      <c r="N7" s="9">
        <v>25</v>
      </c>
      <c r="O7" s="9">
        <v>16</v>
      </c>
      <c r="P7" s="9">
        <v>7829</v>
      </c>
      <c r="Q7" s="9">
        <v>8</v>
      </c>
      <c r="S7" s="9">
        <v>487</v>
      </c>
      <c r="T7" s="9">
        <v>2</v>
      </c>
      <c r="U7" s="9">
        <v>155</v>
      </c>
      <c r="X7">
        <v>1149791</v>
      </c>
      <c r="Y7" s="11">
        <f>SUM(F7:Q7)-X7</f>
        <v>0</v>
      </c>
    </row>
    <row r="8" spans="2:25" customFormat="1" x14ac:dyDescent="0.25">
      <c r="B8" s="6" t="s">
        <v>20</v>
      </c>
      <c r="C8" s="6" t="s">
        <v>19</v>
      </c>
      <c r="D8" s="6">
        <f>D7+1</f>
        <v>2</v>
      </c>
      <c r="E8" s="9">
        <v>1141176</v>
      </c>
      <c r="F8" s="9">
        <v>1010572</v>
      </c>
      <c r="G8" s="9">
        <v>121598</v>
      </c>
      <c r="H8" s="9">
        <v>8164</v>
      </c>
      <c r="I8" s="9">
        <v>842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S8" s="9">
        <v>0</v>
      </c>
      <c r="T8" s="9">
        <v>0</v>
      </c>
      <c r="U8" s="9">
        <v>0</v>
      </c>
      <c r="X8">
        <v>1141176</v>
      </c>
      <c r="Y8" s="11">
        <f t="shared" ref="Y8:Y58" si="0">SUM(F8:Q8)-X8</f>
        <v>0</v>
      </c>
    </row>
    <row r="9" spans="2:25" customFormat="1" x14ac:dyDescent="0.25">
      <c r="B9" s="6" t="s">
        <v>22</v>
      </c>
      <c r="C9" s="6" t="s">
        <v>21</v>
      </c>
      <c r="D9" s="6">
        <f t="shared" ref="D9:D72" si="1">D8+1</f>
        <v>3</v>
      </c>
      <c r="E9" s="9">
        <v>23055852.679125007</v>
      </c>
      <c r="F9" s="9">
        <v>19693335.621771198</v>
      </c>
      <c r="G9" s="9">
        <v>2323858.4796987218</v>
      </c>
      <c r="H9" s="9">
        <v>211703.95414267364</v>
      </c>
      <c r="I9" s="9">
        <v>218776.18371969723</v>
      </c>
      <c r="J9" s="9">
        <v>163816.09684686788</v>
      </c>
      <c r="K9" s="9">
        <v>26.074483335813575</v>
      </c>
      <c r="L9" s="9">
        <v>13416.224866400044</v>
      </c>
      <c r="M9" s="9">
        <v>59607.390138636991</v>
      </c>
      <c r="N9" s="9">
        <v>96234.867109021652</v>
      </c>
      <c r="O9" s="9">
        <v>171920.94832923554</v>
      </c>
      <c r="P9" s="9">
        <v>103137.15421469032</v>
      </c>
      <c r="Q9" s="9">
        <v>19.683804523941305</v>
      </c>
      <c r="S9" s="9">
        <v>163816.09684686788</v>
      </c>
      <c r="T9" s="9">
        <v>26.074483335813575</v>
      </c>
      <c r="U9" s="9">
        <v>13416.224866400044</v>
      </c>
      <c r="X9">
        <v>23055852.679125007</v>
      </c>
      <c r="Y9" s="11">
        <f t="shared" si="0"/>
        <v>0</v>
      </c>
    </row>
    <row r="10" spans="2:25" customFormat="1" x14ac:dyDescent="0.25">
      <c r="B10" s="10" t="s">
        <v>24</v>
      </c>
      <c r="C10" s="6" t="s">
        <v>23</v>
      </c>
      <c r="D10" s="6">
        <f t="shared" si="1"/>
        <v>4</v>
      </c>
      <c r="E10" s="9">
        <v>1172597</v>
      </c>
      <c r="F10" s="9">
        <v>1030857</v>
      </c>
      <c r="G10" s="9">
        <v>131231</v>
      </c>
      <c r="H10" s="9">
        <v>8737</v>
      </c>
      <c r="I10" s="9">
        <v>883</v>
      </c>
      <c r="J10" s="9">
        <v>530</v>
      </c>
      <c r="K10" s="9">
        <v>2</v>
      </c>
      <c r="L10" s="9">
        <v>159</v>
      </c>
      <c r="M10" s="9">
        <v>99</v>
      </c>
      <c r="N10" s="9">
        <v>36</v>
      </c>
      <c r="O10" s="9">
        <v>55</v>
      </c>
      <c r="P10" s="9">
        <v>0</v>
      </c>
      <c r="Q10" s="9">
        <v>8</v>
      </c>
      <c r="S10" s="9">
        <v>530</v>
      </c>
      <c r="T10" s="9">
        <v>2</v>
      </c>
      <c r="U10" s="9">
        <v>159</v>
      </c>
      <c r="X10">
        <v>1172597</v>
      </c>
      <c r="Y10" s="11">
        <f t="shared" si="0"/>
        <v>0</v>
      </c>
    </row>
    <row r="11" spans="2:25" customFormat="1" x14ac:dyDescent="0.25">
      <c r="B11" s="10" t="s">
        <v>26</v>
      </c>
      <c r="C11" s="10" t="s">
        <v>25</v>
      </c>
      <c r="D11" s="6">
        <f t="shared" si="1"/>
        <v>5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S11" s="9">
        <v>0</v>
      </c>
      <c r="T11" s="9">
        <v>0</v>
      </c>
      <c r="U11" s="9">
        <v>0</v>
      </c>
      <c r="X11">
        <v>1</v>
      </c>
      <c r="Y11" s="11">
        <f t="shared" si="0"/>
        <v>0</v>
      </c>
    </row>
    <row r="12" spans="2:25" customFormat="1" x14ac:dyDescent="0.25">
      <c r="B12" s="10" t="s">
        <v>28</v>
      </c>
      <c r="C12" s="6" t="s">
        <v>27</v>
      </c>
      <c r="D12" s="6">
        <f t="shared" si="1"/>
        <v>6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S12" s="9">
        <v>0</v>
      </c>
      <c r="T12" s="9">
        <v>0</v>
      </c>
      <c r="U12" s="9">
        <v>0</v>
      </c>
      <c r="X12">
        <v>1</v>
      </c>
      <c r="Y12" s="11">
        <f t="shared" si="0"/>
        <v>0</v>
      </c>
    </row>
    <row r="13" spans="2:25" customFormat="1" x14ac:dyDescent="0.25">
      <c r="B13" s="6" t="s">
        <v>30</v>
      </c>
      <c r="C13" s="6" t="s">
        <v>29</v>
      </c>
      <c r="D13" s="6">
        <f t="shared" si="1"/>
        <v>7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S13" s="9">
        <v>0</v>
      </c>
      <c r="T13" s="9">
        <v>0</v>
      </c>
      <c r="U13" s="9">
        <v>0</v>
      </c>
      <c r="X13">
        <v>1</v>
      </c>
      <c r="Y13" s="11">
        <f t="shared" si="0"/>
        <v>0</v>
      </c>
    </row>
    <row r="14" spans="2:25" customFormat="1" x14ac:dyDescent="0.25">
      <c r="B14" s="6" t="s">
        <v>32</v>
      </c>
      <c r="C14" s="6" t="s">
        <v>31</v>
      </c>
      <c r="D14" s="6">
        <f t="shared" si="1"/>
        <v>8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S14" s="9">
        <v>0</v>
      </c>
      <c r="T14" s="9">
        <v>0</v>
      </c>
      <c r="U14" s="9">
        <v>0</v>
      </c>
      <c r="X14">
        <v>1</v>
      </c>
      <c r="Y14" s="11">
        <f t="shared" si="0"/>
        <v>0</v>
      </c>
    </row>
    <row r="15" spans="2:25" customFormat="1" x14ac:dyDescent="0.25">
      <c r="B15" s="6" t="s">
        <v>34</v>
      </c>
      <c r="C15" s="6" t="s">
        <v>33</v>
      </c>
      <c r="D15" s="6">
        <f t="shared" si="1"/>
        <v>9</v>
      </c>
      <c r="E15" s="9">
        <v>-34015464.989999995</v>
      </c>
      <c r="F15" s="9">
        <v>-30406297.609999999</v>
      </c>
      <c r="G15" s="9">
        <v>-2455237.91</v>
      </c>
      <c r="H15" s="9">
        <v>-840288.84999999986</v>
      </c>
      <c r="I15" s="9">
        <v>-223191.21</v>
      </c>
      <c r="J15" s="9">
        <v>-75815.75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-14633.660000000002</v>
      </c>
      <c r="Q15" s="9">
        <v>0</v>
      </c>
      <c r="S15" s="9">
        <v>-75815.75</v>
      </c>
      <c r="T15" s="9">
        <v>0</v>
      </c>
      <c r="U15" s="9">
        <v>0</v>
      </c>
      <c r="X15">
        <v>-34015464.989999995</v>
      </c>
      <c r="Y15" s="11">
        <f t="shared" si="0"/>
        <v>0</v>
      </c>
    </row>
    <row r="16" spans="2:25" customFormat="1" x14ac:dyDescent="0.25">
      <c r="B16" s="6" t="s">
        <v>36</v>
      </c>
      <c r="C16" s="10" t="s">
        <v>35</v>
      </c>
      <c r="D16" s="6">
        <f t="shared" si="1"/>
        <v>10</v>
      </c>
      <c r="E16" s="9">
        <v>-77716905.469999999</v>
      </c>
      <c r="F16" s="9">
        <v>-33314021.629999995</v>
      </c>
      <c r="G16" s="9">
        <v>-41341014.587427035</v>
      </c>
      <c r="H16" s="9">
        <v>-2775605.2163008796</v>
      </c>
      <c r="I16" s="9">
        <v>-286264.0362720897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S16" s="9">
        <v>0</v>
      </c>
      <c r="T16" s="9">
        <v>0</v>
      </c>
      <c r="U16" s="9">
        <v>0</v>
      </c>
      <c r="X16">
        <v>-77716905.469999999</v>
      </c>
      <c r="Y16" s="11">
        <f t="shared" si="0"/>
        <v>0</v>
      </c>
    </row>
    <row r="17" spans="2:25" customFormat="1" x14ac:dyDescent="0.25">
      <c r="B17" s="6" t="s">
        <v>38</v>
      </c>
      <c r="C17" s="6" t="s">
        <v>37</v>
      </c>
      <c r="D17" s="6">
        <f t="shared" si="1"/>
        <v>11</v>
      </c>
      <c r="E17" s="9">
        <v>2491343.4590000971</v>
      </c>
      <c r="F17" s="9">
        <v>0</v>
      </c>
      <c r="G17" s="9">
        <v>0</v>
      </c>
      <c r="H17" s="9">
        <v>0</v>
      </c>
      <c r="I17" s="9">
        <v>0</v>
      </c>
      <c r="J17" s="9">
        <v>824435.83999999985</v>
      </c>
      <c r="K17" s="9">
        <v>0</v>
      </c>
      <c r="L17" s="9">
        <v>47249.630000000005</v>
      </c>
      <c r="M17" s="9">
        <v>1600260.7990000974</v>
      </c>
      <c r="N17" s="9">
        <v>0</v>
      </c>
      <c r="O17" s="9">
        <v>0</v>
      </c>
      <c r="P17" s="9">
        <v>0</v>
      </c>
      <c r="Q17" s="9">
        <v>19397.189999999999</v>
      </c>
      <c r="S17" s="9">
        <v>824435.83999999985</v>
      </c>
      <c r="T17" s="9">
        <v>0</v>
      </c>
      <c r="U17" s="9">
        <v>47249.630000000005</v>
      </c>
      <c r="X17">
        <v>2491343.4590000971</v>
      </c>
      <c r="Y17" s="11">
        <f t="shared" si="0"/>
        <v>0</v>
      </c>
    </row>
    <row r="18" spans="2:25" customFormat="1" x14ac:dyDescent="0.25">
      <c r="B18" s="6" t="s">
        <v>40</v>
      </c>
      <c r="C18" s="6" t="s">
        <v>39</v>
      </c>
      <c r="D18" s="6">
        <f t="shared" si="1"/>
        <v>12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S18" s="9">
        <v>0</v>
      </c>
      <c r="T18" s="9">
        <v>0</v>
      </c>
      <c r="U18" s="9">
        <v>0</v>
      </c>
      <c r="X18">
        <v>1</v>
      </c>
      <c r="Y18" s="11">
        <f t="shared" si="0"/>
        <v>0</v>
      </c>
    </row>
    <row r="19" spans="2:25" customFormat="1" x14ac:dyDescent="0.25">
      <c r="B19" s="6" t="s">
        <v>42</v>
      </c>
      <c r="C19" s="6" t="s">
        <v>41</v>
      </c>
      <c r="D19" s="6">
        <f t="shared" si="1"/>
        <v>13</v>
      </c>
      <c r="E19" s="9">
        <v>2383668.6699999995</v>
      </c>
      <c r="F19" s="9">
        <v>1863702.2299999993</v>
      </c>
      <c r="G19" s="9">
        <v>273430.22000000003</v>
      </c>
      <c r="H19" s="9">
        <v>100807.01999999996</v>
      </c>
      <c r="I19" s="9">
        <v>26571.79</v>
      </c>
      <c r="J19" s="9">
        <v>22333.49</v>
      </c>
      <c r="K19" s="9">
        <v>0</v>
      </c>
      <c r="L19" s="9">
        <v>158.59</v>
      </c>
      <c r="M19" s="9">
        <v>0</v>
      </c>
      <c r="N19" s="9">
        <v>3068.19</v>
      </c>
      <c r="O19" s="9">
        <v>2207.6999999999998</v>
      </c>
      <c r="P19" s="9">
        <v>91350.16</v>
      </c>
      <c r="Q19" s="9">
        <v>39.28</v>
      </c>
      <c r="S19" s="9">
        <v>22333.49</v>
      </c>
      <c r="T19" s="9">
        <v>0</v>
      </c>
      <c r="U19" s="9">
        <v>158.59</v>
      </c>
      <c r="X19">
        <v>2383668.6699999995</v>
      </c>
      <c r="Y19" s="11">
        <f t="shared" si="0"/>
        <v>0</v>
      </c>
    </row>
    <row r="20" spans="2:25" customFormat="1" x14ac:dyDescent="0.25">
      <c r="B20" s="6" t="s">
        <v>44</v>
      </c>
      <c r="C20" s="6" t="s">
        <v>43</v>
      </c>
      <c r="D20" s="6">
        <f t="shared" si="1"/>
        <v>14</v>
      </c>
      <c r="E20" s="9">
        <v>315841.58000000007</v>
      </c>
      <c r="F20" s="9">
        <v>296927.81000000006</v>
      </c>
      <c r="G20" s="9">
        <v>18396.830000000005</v>
      </c>
      <c r="H20" s="9">
        <v>394.94</v>
      </c>
      <c r="I20" s="9">
        <v>26.86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95.14</v>
      </c>
      <c r="Q20" s="9">
        <v>0</v>
      </c>
      <c r="S20" s="9">
        <v>0</v>
      </c>
      <c r="T20" s="9">
        <v>0</v>
      </c>
      <c r="U20" s="9">
        <v>0</v>
      </c>
      <c r="X20">
        <v>315841.58000000007</v>
      </c>
      <c r="Y20" s="11">
        <f t="shared" si="0"/>
        <v>0</v>
      </c>
    </row>
    <row r="21" spans="2:25" customFormat="1" x14ac:dyDescent="0.25">
      <c r="B21" s="6" t="s">
        <v>46</v>
      </c>
      <c r="C21" s="6" t="s">
        <v>45</v>
      </c>
      <c r="D21" s="6">
        <f t="shared" si="1"/>
        <v>15</v>
      </c>
      <c r="E21" s="9">
        <v>1550570.85</v>
      </c>
      <c r="F21" s="9">
        <v>1514580.4800000002</v>
      </c>
      <c r="G21" s="9">
        <v>35233.449999999997</v>
      </c>
      <c r="H21" s="9">
        <v>756.92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S21" s="9">
        <v>0</v>
      </c>
      <c r="T21" s="9">
        <v>0</v>
      </c>
      <c r="U21" s="9">
        <v>0</v>
      </c>
      <c r="X21">
        <v>1550570.85</v>
      </c>
      <c r="Y21" s="11">
        <f t="shared" si="0"/>
        <v>0</v>
      </c>
    </row>
    <row r="22" spans="2:25" customFormat="1" x14ac:dyDescent="0.25">
      <c r="B22" s="6" t="s">
        <v>48</v>
      </c>
      <c r="C22" s="6" t="s">
        <v>47</v>
      </c>
      <c r="D22" s="6">
        <f t="shared" si="1"/>
        <v>16</v>
      </c>
      <c r="E22" s="9">
        <v>1520361.83</v>
      </c>
      <c r="F22" s="9">
        <v>1391359.2799999998</v>
      </c>
      <c r="G22" s="9">
        <v>124826.99999999997</v>
      </c>
      <c r="H22" s="9">
        <v>3774.12</v>
      </c>
      <c r="I22" s="9">
        <v>273.05999999999995</v>
      </c>
      <c r="J22" s="9">
        <v>126.83999999999999</v>
      </c>
      <c r="K22" s="9">
        <v>0</v>
      </c>
      <c r="L22" s="9">
        <v>0</v>
      </c>
      <c r="M22" s="9">
        <v>0</v>
      </c>
      <c r="N22" s="9">
        <v>1.53</v>
      </c>
      <c r="O22" s="9">
        <v>0</v>
      </c>
      <c r="P22" s="9">
        <v>0</v>
      </c>
      <c r="Q22" s="9">
        <v>0</v>
      </c>
      <c r="S22" s="9">
        <v>126.83999999999999</v>
      </c>
      <c r="T22" s="9">
        <v>0</v>
      </c>
      <c r="U22" s="9">
        <v>0</v>
      </c>
      <c r="X22">
        <v>1520361.83</v>
      </c>
      <c r="Y22" s="11">
        <f t="shared" si="0"/>
        <v>0</v>
      </c>
    </row>
    <row r="23" spans="2:25" customFormat="1" x14ac:dyDescent="0.25">
      <c r="B23" s="6" t="s">
        <v>50</v>
      </c>
      <c r="C23" s="6" t="s">
        <v>49</v>
      </c>
      <c r="D23" s="6">
        <f t="shared" si="1"/>
        <v>17</v>
      </c>
      <c r="E23" s="9">
        <v>29617.52</v>
      </c>
      <c r="F23" s="9">
        <v>19433.579999999998</v>
      </c>
      <c r="G23" s="9">
        <v>7376.1599999999989</v>
      </c>
      <c r="H23" s="9">
        <v>2736.4500000000003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71.33</v>
      </c>
      <c r="Q23" s="9">
        <v>0</v>
      </c>
      <c r="S23" s="9">
        <v>0</v>
      </c>
      <c r="T23" s="9">
        <v>0</v>
      </c>
      <c r="U23" s="9">
        <v>0</v>
      </c>
      <c r="X23">
        <v>29617.52</v>
      </c>
      <c r="Y23" s="11">
        <f t="shared" si="0"/>
        <v>0</v>
      </c>
    </row>
    <row r="24" spans="2:25" customFormat="1" x14ac:dyDescent="0.25">
      <c r="B24" s="6" t="s">
        <v>52</v>
      </c>
      <c r="C24" s="6" t="s">
        <v>51</v>
      </c>
      <c r="D24" s="6">
        <f t="shared" si="1"/>
        <v>18</v>
      </c>
      <c r="E24" s="9">
        <v>19454508.18</v>
      </c>
      <c r="F24" s="9">
        <v>17224681.399999999</v>
      </c>
      <c r="G24" s="9">
        <v>1239004.6299999999</v>
      </c>
      <c r="H24" s="9">
        <v>200327.21</v>
      </c>
      <c r="I24" s="9">
        <v>312764.41000000003</v>
      </c>
      <c r="J24" s="9">
        <v>428165.6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49564.93</v>
      </c>
      <c r="Q24" s="9">
        <v>0</v>
      </c>
      <c r="S24" s="9">
        <v>428165.6</v>
      </c>
      <c r="T24" s="9">
        <v>0</v>
      </c>
      <c r="U24" s="9">
        <v>0</v>
      </c>
      <c r="X24">
        <v>19454508.18</v>
      </c>
      <c r="Y24" s="11">
        <f t="shared" si="0"/>
        <v>0</v>
      </c>
    </row>
    <row r="25" spans="2:25" customFormat="1" x14ac:dyDescent="0.25">
      <c r="B25" s="6" t="s">
        <v>54</v>
      </c>
      <c r="C25" s="6" t="s">
        <v>53</v>
      </c>
      <c r="D25" s="6">
        <f t="shared" si="1"/>
        <v>19</v>
      </c>
      <c r="E25" s="9">
        <v>176621934.4411512</v>
      </c>
      <c r="F25" s="9">
        <v>114667546</v>
      </c>
      <c r="G25" s="9">
        <v>32185511</v>
      </c>
      <c r="H25" s="9">
        <v>9511980.333333334</v>
      </c>
      <c r="I25" s="9">
        <v>1069065</v>
      </c>
      <c r="J25" s="9">
        <v>12805047.923076924</v>
      </c>
      <c r="K25" s="9">
        <v>41518</v>
      </c>
      <c r="L25" s="9">
        <v>4138357</v>
      </c>
      <c r="M25" s="9">
        <v>836988.717948718</v>
      </c>
      <c r="N25" s="9">
        <v>519768</v>
      </c>
      <c r="O25" s="9">
        <v>836822</v>
      </c>
      <c r="P25" s="9">
        <v>0</v>
      </c>
      <c r="Q25" s="9">
        <v>9330.4667922159442</v>
      </c>
      <c r="S25" s="9">
        <v>12805047.923076924</v>
      </c>
      <c r="T25" s="9">
        <v>41518</v>
      </c>
      <c r="U25" s="9">
        <v>4138357</v>
      </c>
      <c r="X25">
        <v>176621934.4411512</v>
      </c>
      <c r="Y25" s="11">
        <f t="shared" si="0"/>
        <v>0</v>
      </c>
    </row>
    <row r="26" spans="2:25" customFormat="1" x14ac:dyDescent="0.25">
      <c r="B26" s="6" t="s">
        <v>56</v>
      </c>
      <c r="C26" s="6" t="s">
        <v>55</v>
      </c>
      <c r="D26" s="6">
        <f t="shared" si="1"/>
        <v>20</v>
      </c>
      <c r="E26" s="9">
        <v>411134</v>
      </c>
      <c r="F26" s="9">
        <v>354802</v>
      </c>
      <c r="G26" s="9">
        <v>54210</v>
      </c>
      <c r="H26" s="9">
        <v>2077</v>
      </c>
      <c r="I26" s="9">
        <v>45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S26" s="9">
        <v>0</v>
      </c>
      <c r="T26" s="9">
        <v>0</v>
      </c>
      <c r="U26" s="9">
        <v>0</v>
      </c>
      <c r="X26">
        <v>411134</v>
      </c>
      <c r="Y26" s="11">
        <f t="shared" si="0"/>
        <v>0</v>
      </c>
    </row>
    <row r="27" spans="2:25" customFormat="1" x14ac:dyDescent="0.25">
      <c r="B27" s="6" t="s">
        <v>58</v>
      </c>
      <c r="C27" s="6" t="s">
        <v>57</v>
      </c>
      <c r="D27" s="6">
        <f t="shared" si="1"/>
        <v>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S27" s="9">
        <v>0</v>
      </c>
      <c r="T27" s="9">
        <v>0</v>
      </c>
      <c r="U27" s="9">
        <v>0</v>
      </c>
      <c r="X27">
        <v>0</v>
      </c>
      <c r="Y27" s="11">
        <f t="shared" si="0"/>
        <v>0</v>
      </c>
    </row>
    <row r="28" spans="2:25" customFormat="1" x14ac:dyDescent="0.25">
      <c r="B28" s="6" t="s">
        <v>60</v>
      </c>
      <c r="C28" s="6" t="s">
        <v>59</v>
      </c>
      <c r="D28" s="6">
        <f t="shared" si="1"/>
        <v>22</v>
      </c>
      <c r="E28" s="9">
        <v>1997002382.391351</v>
      </c>
      <c r="F28" s="9">
        <v>1105896512.391351</v>
      </c>
      <c r="G28" s="9">
        <v>263390391</v>
      </c>
      <c r="H28" s="9">
        <v>270703257</v>
      </c>
      <c r="I28" s="9">
        <v>160280839</v>
      </c>
      <c r="J28" s="9">
        <v>113255219</v>
      </c>
      <c r="K28" s="9">
        <v>268014</v>
      </c>
      <c r="L28" s="9">
        <v>10687146</v>
      </c>
      <c r="M28" s="9">
        <v>5493550</v>
      </c>
      <c r="N28" s="9">
        <v>40128244</v>
      </c>
      <c r="O28" s="9">
        <v>10114356</v>
      </c>
      <c r="P28" s="9">
        <v>16457494</v>
      </c>
      <c r="Q28" s="9">
        <v>327360</v>
      </c>
      <c r="S28" s="9">
        <v>113255219</v>
      </c>
      <c r="T28" s="9">
        <v>268014</v>
      </c>
      <c r="U28" s="9">
        <v>10687146</v>
      </c>
      <c r="X28">
        <v>1997002382.391351</v>
      </c>
      <c r="Y28" s="11">
        <f t="shared" si="0"/>
        <v>0</v>
      </c>
    </row>
    <row r="29" spans="2:25" customFormat="1" x14ac:dyDescent="0.25">
      <c r="B29" s="10" t="s">
        <v>62</v>
      </c>
      <c r="C29" s="6" t="s">
        <v>61</v>
      </c>
      <c r="D29" s="6">
        <f t="shared" si="1"/>
        <v>23</v>
      </c>
      <c r="E29" s="9">
        <v>1981067116.391351</v>
      </c>
      <c r="F29" s="9">
        <v>1105896512.391351</v>
      </c>
      <c r="G29" s="9">
        <v>263390391</v>
      </c>
      <c r="H29" s="9">
        <v>270703257</v>
      </c>
      <c r="I29" s="9">
        <v>160280839</v>
      </c>
      <c r="J29" s="9">
        <v>113255219</v>
      </c>
      <c r="K29" s="9">
        <v>268014</v>
      </c>
      <c r="L29" s="9">
        <v>10687146</v>
      </c>
      <c r="M29" s="9">
        <v>0</v>
      </c>
      <c r="N29" s="9">
        <v>40128244</v>
      </c>
      <c r="O29" s="9">
        <v>0</v>
      </c>
      <c r="P29" s="9">
        <v>16457494</v>
      </c>
      <c r="Q29" s="9">
        <v>0</v>
      </c>
      <c r="S29" s="9">
        <v>113255219</v>
      </c>
      <c r="T29" s="9">
        <v>268014</v>
      </c>
      <c r="U29" s="9">
        <v>10687146</v>
      </c>
      <c r="X29">
        <v>1981067116.391351</v>
      </c>
      <c r="Y29" s="11">
        <f t="shared" si="0"/>
        <v>0</v>
      </c>
    </row>
    <row r="30" spans="2:25" customFormat="1" x14ac:dyDescent="0.25">
      <c r="B30" s="6" t="s">
        <v>64</v>
      </c>
      <c r="C30" s="6" t="s">
        <v>63</v>
      </c>
      <c r="D30" s="6">
        <f t="shared" si="1"/>
        <v>24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S30" s="9">
        <v>0</v>
      </c>
      <c r="T30" s="9">
        <v>0</v>
      </c>
      <c r="U30" s="9">
        <v>0</v>
      </c>
      <c r="X30">
        <v>1</v>
      </c>
      <c r="Y30" s="11">
        <f t="shared" si="0"/>
        <v>0</v>
      </c>
    </row>
    <row r="31" spans="2:25" customFormat="1" x14ac:dyDescent="0.25">
      <c r="B31" s="6" t="s">
        <v>66</v>
      </c>
      <c r="C31" s="6" t="s">
        <v>65</v>
      </c>
      <c r="D31" s="6">
        <f t="shared" si="1"/>
        <v>25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S31" s="9">
        <v>0</v>
      </c>
      <c r="T31" s="9">
        <v>0</v>
      </c>
      <c r="U31" s="9">
        <v>0</v>
      </c>
      <c r="X31">
        <v>0</v>
      </c>
      <c r="Y31" s="11">
        <f t="shared" si="0"/>
        <v>0</v>
      </c>
    </row>
    <row r="32" spans="2:25" customFormat="1" x14ac:dyDescent="0.25">
      <c r="B32" s="10" t="s">
        <v>68</v>
      </c>
      <c r="C32" s="6" t="s">
        <v>67</v>
      </c>
      <c r="D32" s="6">
        <f t="shared" si="1"/>
        <v>26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S32" s="9">
        <v>0</v>
      </c>
      <c r="T32" s="9">
        <v>0</v>
      </c>
      <c r="U32" s="9">
        <v>0</v>
      </c>
      <c r="X32">
        <v>0</v>
      </c>
      <c r="Y32" s="11">
        <f t="shared" si="0"/>
        <v>0</v>
      </c>
    </row>
    <row r="33" spans="1:25" customFormat="1" x14ac:dyDescent="0.25">
      <c r="B33" s="10" t="s">
        <v>70</v>
      </c>
      <c r="C33" s="6" t="s">
        <v>69</v>
      </c>
      <c r="D33" s="6">
        <f t="shared" si="1"/>
        <v>27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S33" s="9">
        <v>0</v>
      </c>
      <c r="T33" s="9">
        <v>0</v>
      </c>
      <c r="U33" s="9">
        <v>0</v>
      </c>
      <c r="X33">
        <v>0</v>
      </c>
      <c r="Y33" s="11">
        <f t="shared" si="0"/>
        <v>0</v>
      </c>
    </row>
    <row r="34" spans="1:25" customFormat="1" x14ac:dyDescent="0.25">
      <c r="B34" s="10" t="s">
        <v>72</v>
      </c>
      <c r="C34" s="6" t="s">
        <v>71</v>
      </c>
      <c r="D34" s="6">
        <f t="shared" si="1"/>
        <v>28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S34" s="9">
        <v>0</v>
      </c>
      <c r="T34" s="9">
        <v>0</v>
      </c>
      <c r="U34" s="9">
        <v>0</v>
      </c>
      <c r="X34">
        <v>0</v>
      </c>
      <c r="Y34" s="11">
        <f t="shared" si="0"/>
        <v>0</v>
      </c>
    </row>
    <row r="35" spans="1:25" customFormat="1" x14ac:dyDescent="0.25">
      <c r="A35" s="11"/>
      <c r="B35" s="10" t="s">
        <v>74</v>
      </c>
      <c r="C35" s="6" t="s">
        <v>73</v>
      </c>
      <c r="D35" s="6">
        <f t="shared" si="1"/>
        <v>29</v>
      </c>
      <c r="E35" s="9">
        <v>4182521.5409127185</v>
      </c>
      <c r="F35" s="9">
        <v>2236474.2253660602</v>
      </c>
      <c r="G35" s="9">
        <v>515625.82524854271</v>
      </c>
      <c r="H35" s="9">
        <v>551893.91878041346</v>
      </c>
      <c r="I35" s="9">
        <v>289974.91765494185</v>
      </c>
      <c r="J35" s="9">
        <v>204844.84270926949</v>
      </c>
      <c r="K35" s="9">
        <v>7.0004300675974864</v>
      </c>
      <c r="L35" s="9">
        <v>0</v>
      </c>
      <c r="M35" s="9">
        <v>52796.147183246518</v>
      </c>
      <c r="N35" s="9">
        <v>69577.130407689765</v>
      </c>
      <c r="O35" s="9">
        <v>251839.84707747737</v>
      </c>
      <c r="P35" s="9">
        <v>8059.2720272472116</v>
      </c>
      <c r="Q35" s="9">
        <v>1428.4140277629981</v>
      </c>
      <c r="S35" s="9">
        <v>204844.84270926949</v>
      </c>
      <c r="T35" s="9">
        <v>7.0004300675974864</v>
      </c>
      <c r="U35" s="9">
        <v>0</v>
      </c>
      <c r="X35">
        <v>4182521.5409127185</v>
      </c>
      <c r="Y35" s="11">
        <f t="shared" si="0"/>
        <v>0</v>
      </c>
    </row>
    <row r="36" spans="1:25" customFormat="1" x14ac:dyDescent="0.25">
      <c r="A36" s="11"/>
      <c r="B36" s="10" t="s">
        <v>76</v>
      </c>
      <c r="C36" s="6" t="s">
        <v>75</v>
      </c>
      <c r="D36" s="6">
        <f t="shared" si="1"/>
        <v>30</v>
      </c>
      <c r="E36" s="9">
        <v>3877885.5466519948</v>
      </c>
      <c r="F36" s="9">
        <v>2236474.2253660602</v>
      </c>
      <c r="G36" s="9">
        <v>515625.82524854271</v>
      </c>
      <c r="H36" s="9">
        <v>551893.91878041346</v>
      </c>
      <c r="I36" s="9">
        <v>289974.91765494185</v>
      </c>
      <c r="J36" s="9">
        <v>204844.84270926949</v>
      </c>
      <c r="K36" s="9">
        <v>7.0004300675974864</v>
      </c>
      <c r="L36" s="9">
        <v>0</v>
      </c>
      <c r="M36" s="9">
        <v>0</v>
      </c>
      <c r="N36" s="9">
        <v>69577.130407689765</v>
      </c>
      <c r="O36" s="9">
        <v>0</v>
      </c>
      <c r="P36" s="9">
        <v>8059.2720272472116</v>
      </c>
      <c r="Q36" s="9">
        <v>1428.4140277629981</v>
      </c>
      <c r="S36" s="9">
        <v>204844.84270926949</v>
      </c>
      <c r="T36" s="9">
        <v>7.0004300675974864</v>
      </c>
      <c r="U36" s="9">
        <v>0</v>
      </c>
      <c r="X36">
        <v>3877885.5466519948</v>
      </c>
      <c r="Y36" s="11">
        <f t="shared" si="0"/>
        <v>0</v>
      </c>
    </row>
    <row r="37" spans="1:25" customFormat="1" x14ac:dyDescent="0.25">
      <c r="B37" s="6" t="s">
        <v>78</v>
      </c>
      <c r="C37" s="6" t="s">
        <v>77</v>
      </c>
      <c r="D37" s="6">
        <f t="shared" si="1"/>
        <v>31</v>
      </c>
      <c r="E37" s="9">
        <v>-12148.752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-12148.752</v>
      </c>
      <c r="O37" s="9">
        <v>0</v>
      </c>
      <c r="P37" s="9">
        <v>0</v>
      </c>
      <c r="Q37" s="9">
        <v>0</v>
      </c>
      <c r="S37" s="9">
        <v>0</v>
      </c>
      <c r="T37" s="9">
        <v>0</v>
      </c>
      <c r="U37" s="9">
        <v>0</v>
      </c>
      <c r="X37">
        <v>-12148.752</v>
      </c>
      <c r="Y37" s="11">
        <f t="shared" si="0"/>
        <v>0</v>
      </c>
    </row>
    <row r="38" spans="1:25" customFormat="1" x14ac:dyDescent="0.25">
      <c r="B38" s="6" t="s">
        <v>80</v>
      </c>
      <c r="C38" s="6" t="s">
        <v>79</v>
      </c>
      <c r="D38" s="6">
        <f t="shared" si="1"/>
        <v>32</v>
      </c>
      <c r="E38" s="9">
        <v>-233909.65067088912</v>
      </c>
      <c r="F38" s="9">
        <v>0</v>
      </c>
      <c r="G38" s="9">
        <v>0</v>
      </c>
      <c r="H38" s="9">
        <v>0</v>
      </c>
      <c r="I38" s="9">
        <v>0</v>
      </c>
      <c r="J38" s="9">
        <v>-10967.308000000001</v>
      </c>
      <c r="K38" s="9">
        <v>0</v>
      </c>
      <c r="L38" s="9">
        <v>0</v>
      </c>
      <c r="M38" s="9">
        <v>-64314.799088089138</v>
      </c>
      <c r="N38" s="9">
        <v>-57917.228582800002</v>
      </c>
      <c r="O38" s="9">
        <v>-100710.315</v>
      </c>
      <c r="P38" s="9">
        <v>0</v>
      </c>
      <c r="Q38" s="9">
        <v>0</v>
      </c>
      <c r="S38" s="9">
        <v>-10967.308000000001</v>
      </c>
      <c r="T38" s="9">
        <v>0</v>
      </c>
      <c r="U38" s="9">
        <v>0</v>
      </c>
      <c r="X38">
        <v>-233909.65067088912</v>
      </c>
      <c r="Y38" s="11">
        <f t="shared" si="0"/>
        <v>0</v>
      </c>
    </row>
    <row r="39" spans="1:25" customFormat="1" x14ac:dyDescent="0.25">
      <c r="B39" s="6" t="s">
        <v>82</v>
      </c>
      <c r="C39" s="6" t="s">
        <v>81</v>
      </c>
      <c r="D39" s="6">
        <f t="shared" si="1"/>
        <v>33</v>
      </c>
      <c r="E39" s="9">
        <v>-11586662.121254718</v>
      </c>
      <c r="F39" s="9">
        <v>0</v>
      </c>
      <c r="G39" s="9">
        <v>0</v>
      </c>
      <c r="H39" s="9">
        <v>0</v>
      </c>
      <c r="I39" s="9">
        <v>0</v>
      </c>
      <c r="J39" s="9">
        <v>-698898.21200000006</v>
      </c>
      <c r="K39" s="9">
        <v>0</v>
      </c>
      <c r="L39" s="9">
        <v>0</v>
      </c>
      <c r="M39" s="9">
        <v>-3115650.3046919182</v>
      </c>
      <c r="N39" s="9">
        <v>-4407970.1745627997</v>
      </c>
      <c r="O39" s="9">
        <v>-3364143.4299999997</v>
      </c>
      <c r="P39" s="9">
        <v>0</v>
      </c>
      <c r="Q39" s="9">
        <v>0</v>
      </c>
      <c r="S39" s="9">
        <v>-698898.21200000006</v>
      </c>
      <c r="T39" s="9">
        <v>0</v>
      </c>
      <c r="U39" s="9">
        <v>0</v>
      </c>
      <c r="X39">
        <v>-11586662.121254718</v>
      </c>
      <c r="Y39" s="11">
        <f t="shared" si="0"/>
        <v>0</v>
      </c>
    </row>
    <row r="40" spans="1:25" customFormat="1" x14ac:dyDescent="0.25">
      <c r="B40" s="6" t="s">
        <v>84</v>
      </c>
      <c r="C40" s="6" t="s">
        <v>83</v>
      </c>
      <c r="D40" s="6">
        <f t="shared" si="1"/>
        <v>34</v>
      </c>
      <c r="E40" s="9">
        <v>-55883.055832029437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-55883.055832029437</v>
      </c>
      <c r="N40" s="9">
        <v>0</v>
      </c>
      <c r="O40" s="9">
        <v>0</v>
      </c>
      <c r="P40" s="9">
        <v>0</v>
      </c>
      <c r="Q40" s="9">
        <v>0</v>
      </c>
      <c r="S40" s="9">
        <v>0</v>
      </c>
      <c r="T40" s="9">
        <v>0</v>
      </c>
      <c r="U40" s="9">
        <v>0</v>
      </c>
      <c r="X40">
        <v>-55883.055832029437</v>
      </c>
      <c r="Y40" s="11">
        <f t="shared" si="0"/>
        <v>0</v>
      </c>
    </row>
    <row r="41" spans="1:25" customFormat="1" x14ac:dyDescent="0.25">
      <c r="B41" s="6" t="s">
        <v>86</v>
      </c>
      <c r="C41" s="6" t="s">
        <v>85</v>
      </c>
      <c r="D41" s="6">
        <f t="shared" si="1"/>
        <v>35</v>
      </c>
      <c r="E41" s="9">
        <v>-16526870.952044467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-14546761.500330182</v>
      </c>
      <c r="N41" s="9">
        <v>-1954966.5945714284</v>
      </c>
      <c r="O41" s="9">
        <v>-25142.857142857145</v>
      </c>
      <c r="P41" s="9">
        <v>0</v>
      </c>
      <c r="Q41" s="9">
        <v>0</v>
      </c>
      <c r="S41" s="9">
        <v>0</v>
      </c>
      <c r="T41" s="9">
        <v>0</v>
      </c>
      <c r="U41" s="9">
        <v>0</v>
      </c>
      <c r="X41">
        <v>-16526870.952044467</v>
      </c>
      <c r="Y41" s="11">
        <f t="shared" si="0"/>
        <v>0</v>
      </c>
    </row>
    <row r="42" spans="1:25" customFormat="1" x14ac:dyDescent="0.25">
      <c r="B42" s="6" t="s">
        <v>88</v>
      </c>
      <c r="C42" s="6" t="s">
        <v>87</v>
      </c>
      <c r="D42" s="6">
        <f t="shared" si="1"/>
        <v>36</v>
      </c>
      <c r="E42" s="9">
        <v>6213906.5041000014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6191234.1489000013</v>
      </c>
      <c r="N42" s="9">
        <v>22672.355200000002</v>
      </c>
      <c r="O42" s="9">
        <v>0</v>
      </c>
      <c r="P42" s="9">
        <v>0</v>
      </c>
      <c r="Q42" s="9">
        <v>0</v>
      </c>
      <c r="S42" s="9">
        <v>0</v>
      </c>
      <c r="T42" s="9">
        <v>0</v>
      </c>
      <c r="U42" s="9">
        <v>0</v>
      </c>
      <c r="X42">
        <v>6213906.5041000014</v>
      </c>
      <c r="Y42" s="11">
        <f t="shared" si="0"/>
        <v>0</v>
      </c>
    </row>
    <row r="43" spans="1:25" customFormat="1" x14ac:dyDescent="0.25">
      <c r="B43" s="6" t="s">
        <v>90</v>
      </c>
      <c r="C43" s="6" t="s">
        <v>89</v>
      </c>
      <c r="D43" s="6">
        <f t="shared" si="1"/>
        <v>37</v>
      </c>
      <c r="E43" s="9">
        <v>791581.29297679989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435671.86089999991</v>
      </c>
      <c r="N43" s="9">
        <v>162866.1520768</v>
      </c>
      <c r="O43" s="9">
        <v>193043.28</v>
      </c>
      <c r="P43" s="9">
        <v>0</v>
      </c>
      <c r="Q43" s="9">
        <v>0</v>
      </c>
      <c r="S43" s="9">
        <v>0</v>
      </c>
      <c r="T43" s="9">
        <v>0</v>
      </c>
      <c r="U43" s="9">
        <v>0</v>
      </c>
      <c r="X43">
        <v>791581.29297679989</v>
      </c>
      <c r="Y43" s="11">
        <f t="shared" si="0"/>
        <v>0</v>
      </c>
    </row>
    <row r="44" spans="1:25" customFormat="1" x14ac:dyDescent="0.25">
      <c r="B44" s="6" t="s">
        <v>92</v>
      </c>
      <c r="C44" s="6" t="s">
        <v>91</v>
      </c>
      <c r="D44" s="6">
        <f t="shared" si="1"/>
        <v>38</v>
      </c>
      <c r="E44" s="9">
        <v>39619338.9961548</v>
      </c>
      <c r="F44" s="9">
        <v>0</v>
      </c>
      <c r="G44" s="9">
        <v>0</v>
      </c>
      <c r="H44" s="9">
        <v>0</v>
      </c>
      <c r="I44" s="9">
        <v>0</v>
      </c>
      <c r="J44" s="9">
        <v>775891.62600000005</v>
      </c>
      <c r="K44" s="9">
        <v>0</v>
      </c>
      <c r="L44" s="9">
        <v>0</v>
      </c>
      <c r="M44" s="9">
        <v>17965597.132100001</v>
      </c>
      <c r="N44" s="9">
        <v>14591388.153054798</v>
      </c>
      <c r="O44" s="9">
        <v>6286462.084999999</v>
      </c>
      <c r="P44" s="9">
        <v>0</v>
      </c>
      <c r="Q44" s="9">
        <v>0</v>
      </c>
      <c r="S44" s="9">
        <v>775891.62600000005</v>
      </c>
      <c r="T44" s="9">
        <v>0</v>
      </c>
      <c r="U44" s="9">
        <v>0</v>
      </c>
      <c r="X44">
        <v>39619338.9961548</v>
      </c>
      <c r="Y44" s="11">
        <f t="shared" si="0"/>
        <v>0</v>
      </c>
    </row>
    <row r="45" spans="1:25" customFormat="1" x14ac:dyDescent="0.25">
      <c r="B45" s="6" t="s">
        <v>94</v>
      </c>
      <c r="C45" s="6" t="s">
        <v>93</v>
      </c>
      <c r="D45" s="6">
        <f t="shared" si="1"/>
        <v>39</v>
      </c>
      <c r="E45" s="9">
        <v>100737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100737</v>
      </c>
      <c r="N45" s="9">
        <v>0</v>
      </c>
      <c r="O45" s="9">
        <v>0</v>
      </c>
      <c r="P45" s="9">
        <v>0</v>
      </c>
      <c r="Q45" s="9">
        <v>0</v>
      </c>
      <c r="S45" s="9">
        <v>0</v>
      </c>
      <c r="T45" s="9">
        <v>0</v>
      </c>
      <c r="U45" s="9">
        <v>0</v>
      </c>
      <c r="X45">
        <v>100737</v>
      </c>
      <c r="Y45" s="11">
        <f t="shared" si="0"/>
        <v>0</v>
      </c>
    </row>
    <row r="46" spans="1:25" customFormat="1" x14ac:dyDescent="0.25">
      <c r="B46" s="6" t="s">
        <v>86</v>
      </c>
      <c r="C46" s="6" t="s">
        <v>95</v>
      </c>
      <c r="D46" s="6">
        <f t="shared" si="1"/>
        <v>40</v>
      </c>
      <c r="E46" s="9">
        <v>34115384.450200006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27419179.360200003</v>
      </c>
      <c r="N46" s="9">
        <v>6656205.0899999999</v>
      </c>
      <c r="O46" s="9">
        <v>40000</v>
      </c>
      <c r="P46" s="9">
        <v>0</v>
      </c>
      <c r="Q46" s="9">
        <v>0</v>
      </c>
      <c r="S46" s="9">
        <v>0</v>
      </c>
      <c r="T46" s="9">
        <v>0</v>
      </c>
      <c r="U46" s="9">
        <v>0</v>
      </c>
      <c r="X46">
        <v>34115384.450200006</v>
      </c>
      <c r="Y46" s="11">
        <f t="shared" si="0"/>
        <v>0</v>
      </c>
    </row>
    <row r="47" spans="1:25" customFormat="1" x14ac:dyDescent="0.25">
      <c r="B47" s="6" t="s">
        <v>97</v>
      </c>
      <c r="C47" s="6" t="s">
        <v>96</v>
      </c>
      <c r="D47" s="6">
        <f t="shared" si="1"/>
        <v>41</v>
      </c>
      <c r="E47" s="9">
        <v>2491343.4590000971</v>
      </c>
      <c r="F47" s="9">
        <v>0</v>
      </c>
      <c r="G47" s="9">
        <v>0</v>
      </c>
      <c r="H47" s="9">
        <v>0</v>
      </c>
      <c r="I47" s="9">
        <v>0</v>
      </c>
      <c r="J47" s="9">
        <v>824435.83999999985</v>
      </c>
      <c r="K47" s="9">
        <v>0</v>
      </c>
      <c r="L47" s="9">
        <v>47249.630000000005</v>
      </c>
      <c r="M47" s="9">
        <v>1600260.7990000974</v>
      </c>
      <c r="N47" s="9">
        <v>0</v>
      </c>
      <c r="O47" s="9">
        <v>0</v>
      </c>
      <c r="P47" s="9">
        <v>0</v>
      </c>
      <c r="Q47" s="9">
        <v>19397.189999999999</v>
      </c>
      <c r="S47" s="9">
        <v>824435.83999999985</v>
      </c>
      <c r="T47" s="9">
        <v>0</v>
      </c>
      <c r="U47" s="9">
        <v>47249.630000000005</v>
      </c>
      <c r="X47">
        <v>2491343.4590000971</v>
      </c>
      <c r="Y47" s="11">
        <f t="shared" si="0"/>
        <v>0</v>
      </c>
    </row>
    <row r="48" spans="1:25" customFormat="1" x14ac:dyDescent="0.25">
      <c r="B48" s="6" t="s">
        <v>99</v>
      </c>
      <c r="C48" s="6" t="s">
        <v>98</v>
      </c>
      <c r="D48" s="6">
        <f t="shared" si="1"/>
        <v>42</v>
      </c>
      <c r="E48" s="9">
        <v>29448193</v>
      </c>
      <c r="F48" s="9">
        <v>13365460</v>
      </c>
      <c r="G48" s="9">
        <v>4308704</v>
      </c>
      <c r="H48" s="9">
        <v>5605766</v>
      </c>
      <c r="I48" s="9">
        <v>3294555</v>
      </c>
      <c r="J48" s="9">
        <v>2713615</v>
      </c>
      <c r="K48" s="9">
        <v>594</v>
      </c>
      <c r="L48" s="9">
        <v>138726</v>
      </c>
      <c r="M48" s="9">
        <v>0</v>
      </c>
      <c r="N48" s="9">
        <v>0</v>
      </c>
      <c r="O48" s="9">
        <v>0</v>
      </c>
      <c r="P48" s="9">
        <v>18970</v>
      </c>
      <c r="Q48" s="9">
        <v>1803</v>
      </c>
      <c r="S48" s="9">
        <v>2713615</v>
      </c>
      <c r="T48" s="9">
        <v>594</v>
      </c>
      <c r="U48" s="9">
        <v>138726</v>
      </c>
      <c r="X48">
        <v>29448193</v>
      </c>
      <c r="Y48" s="11">
        <f t="shared" si="0"/>
        <v>0</v>
      </c>
    </row>
    <row r="49" spans="2:25" customFormat="1" x14ac:dyDescent="0.25">
      <c r="B49" s="6" t="s">
        <v>101</v>
      </c>
      <c r="C49" s="6" t="s">
        <v>100</v>
      </c>
      <c r="D49" s="6">
        <f t="shared" si="1"/>
        <v>43</v>
      </c>
      <c r="E49" s="9">
        <v>13839070</v>
      </c>
      <c r="F49" s="9">
        <v>7045092</v>
      </c>
      <c r="G49" s="9">
        <v>1939403</v>
      </c>
      <c r="H49" s="9">
        <v>2408698</v>
      </c>
      <c r="I49" s="9">
        <v>1400862</v>
      </c>
      <c r="J49" s="9">
        <v>919666</v>
      </c>
      <c r="K49" s="9">
        <v>2</v>
      </c>
      <c r="L49" s="9">
        <v>113067</v>
      </c>
      <c r="M49" s="9">
        <v>0</v>
      </c>
      <c r="N49" s="9">
        <v>0</v>
      </c>
      <c r="O49" s="9">
        <v>0</v>
      </c>
      <c r="P49" s="9">
        <v>10705</v>
      </c>
      <c r="Q49" s="9">
        <v>1575</v>
      </c>
      <c r="S49" s="9">
        <v>919666</v>
      </c>
      <c r="T49" s="9">
        <v>2</v>
      </c>
      <c r="U49" s="9">
        <v>113067</v>
      </c>
      <c r="X49">
        <v>13839070</v>
      </c>
      <c r="Y49" s="11">
        <f t="shared" si="0"/>
        <v>0</v>
      </c>
    </row>
    <row r="50" spans="2:25" customFormat="1" x14ac:dyDescent="0.25">
      <c r="B50" s="6" t="s">
        <v>103</v>
      </c>
      <c r="C50" s="6" t="s">
        <v>102</v>
      </c>
      <c r="D50" s="6">
        <f t="shared" si="1"/>
        <v>44</v>
      </c>
      <c r="E50" s="9">
        <v>800775443</v>
      </c>
      <c r="F50" s="9">
        <v>446989450</v>
      </c>
      <c r="G50" s="9">
        <v>108070405</v>
      </c>
      <c r="H50" s="9">
        <v>118746641</v>
      </c>
      <c r="I50" s="9">
        <v>63184099</v>
      </c>
      <c r="J50" s="9">
        <v>56251894</v>
      </c>
      <c r="K50" s="9">
        <v>206838</v>
      </c>
      <c r="L50" s="9">
        <v>6459907</v>
      </c>
      <c r="M50" s="9">
        <v>0</v>
      </c>
      <c r="N50" s="9">
        <v>0</v>
      </c>
      <c r="O50" s="9">
        <v>0</v>
      </c>
      <c r="P50" s="9">
        <v>646004</v>
      </c>
      <c r="Q50" s="9">
        <v>220205</v>
      </c>
      <c r="S50" s="9">
        <v>56251894</v>
      </c>
      <c r="T50" s="9">
        <v>206838</v>
      </c>
      <c r="U50" s="9">
        <v>6459907</v>
      </c>
      <c r="X50">
        <v>800775443</v>
      </c>
      <c r="Y50" s="11">
        <f t="shared" si="0"/>
        <v>0</v>
      </c>
    </row>
    <row r="51" spans="2:25" customFormat="1" x14ac:dyDescent="0.25">
      <c r="B51" s="6" t="s">
        <v>105</v>
      </c>
      <c r="C51" s="6" t="s">
        <v>104</v>
      </c>
      <c r="D51" s="6">
        <f t="shared" si="1"/>
        <v>45</v>
      </c>
      <c r="E51" s="9">
        <v>9955.9200000000019</v>
      </c>
      <c r="F51" s="9">
        <v>6861.75</v>
      </c>
      <c r="G51" s="9">
        <v>1253.76</v>
      </c>
      <c r="H51" s="9">
        <v>974.70999999999992</v>
      </c>
      <c r="I51" s="9">
        <v>385.58</v>
      </c>
      <c r="J51" s="9">
        <v>360.91999999999996</v>
      </c>
      <c r="K51" s="9">
        <v>9.0399999999999991</v>
      </c>
      <c r="L51" s="9">
        <v>97.26</v>
      </c>
      <c r="M51" s="9">
        <v>0</v>
      </c>
      <c r="N51" s="9">
        <v>0</v>
      </c>
      <c r="O51" s="9">
        <v>0</v>
      </c>
      <c r="P51" s="9">
        <v>6.03</v>
      </c>
      <c r="Q51" s="9">
        <v>6.87</v>
      </c>
      <c r="S51" s="9">
        <v>360.91999999999996</v>
      </c>
      <c r="T51" s="9">
        <v>9.0399999999999991</v>
      </c>
      <c r="U51" s="9">
        <v>97.26</v>
      </c>
      <c r="X51">
        <v>9955.9200000000019</v>
      </c>
      <c r="Y51" s="11">
        <f t="shared" si="0"/>
        <v>0</v>
      </c>
    </row>
    <row r="52" spans="2:25" customFormat="1" x14ac:dyDescent="0.25">
      <c r="B52" s="6" t="s">
        <v>58</v>
      </c>
      <c r="C52" s="6" t="s">
        <v>106</v>
      </c>
      <c r="D52" s="6">
        <f t="shared" si="1"/>
        <v>46</v>
      </c>
      <c r="E52" s="9">
        <v>448977328.08714169</v>
      </c>
      <c r="F52" s="9">
        <v>335230378.93095666</v>
      </c>
      <c r="G52" s="9">
        <v>54903889.644672841</v>
      </c>
      <c r="H52" s="9">
        <v>8026637.6501805745</v>
      </c>
      <c r="I52" s="9">
        <v>90511.45794799368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50725910.403383665</v>
      </c>
      <c r="Q52" s="9">
        <v>0</v>
      </c>
      <c r="S52" s="9">
        <v>0</v>
      </c>
      <c r="T52" s="9">
        <v>0</v>
      </c>
      <c r="U52" s="9">
        <v>0</v>
      </c>
      <c r="X52">
        <v>448977328.08714169</v>
      </c>
      <c r="Y52" s="11">
        <f t="shared" si="0"/>
        <v>0</v>
      </c>
    </row>
    <row r="53" spans="2:25" customFormat="1" x14ac:dyDescent="0.25">
      <c r="B53" s="6" t="s">
        <v>108</v>
      </c>
      <c r="C53" s="6" t="s">
        <v>107</v>
      </c>
      <c r="D53" s="6">
        <f t="shared" si="1"/>
        <v>47</v>
      </c>
      <c r="E53" s="9">
        <v>10083.44</v>
      </c>
      <c r="F53" s="9">
        <v>6786.1</v>
      </c>
      <c r="G53" s="9">
        <v>1209.2</v>
      </c>
      <c r="H53" s="9">
        <v>1128.4000000000001</v>
      </c>
      <c r="I53" s="9">
        <v>489.92</v>
      </c>
      <c r="J53" s="9">
        <v>349.45000000000005</v>
      </c>
      <c r="K53" s="9">
        <v>4.1500000000000004</v>
      </c>
      <c r="L53" s="9">
        <v>108.81</v>
      </c>
      <c r="M53" s="9">
        <v>0</v>
      </c>
      <c r="N53" s="9">
        <v>0</v>
      </c>
      <c r="O53" s="9">
        <v>0</v>
      </c>
      <c r="P53" s="9">
        <v>4.6500000000000004</v>
      </c>
      <c r="Q53" s="9">
        <v>2.76</v>
      </c>
      <c r="S53" s="9">
        <v>349.45000000000005</v>
      </c>
      <c r="T53" s="9">
        <v>4.1500000000000004</v>
      </c>
      <c r="U53" s="9">
        <v>108.81</v>
      </c>
      <c r="X53">
        <v>10083.44</v>
      </c>
      <c r="Y53" s="11">
        <f t="shared" si="0"/>
        <v>0</v>
      </c>
    </row>
    <row r="54" spans="2:25" customFormat="1" x14ac:dyDescent="0.25">
      <c r="B54" s="6" t="s">
        <v>66</v>
      </c>
      <c r="C54" s="6" t="s">
        <v>109</v>
      </c>
      <c r="D54" s="6">
        <f t="shared" si="1"/>
        <v>48</v>
      </c>
      <c r="E54" s="9">
        <v>784299006.1578418</v>
      </c>
      <c r="F54" s="9">
        <v>626558865.95306206</v>
      </c>
      <c r="G54" s="9">
        <v>96862722.538200423</v>
      </c>
      <c r="H54" s="9">
        <v>46166618.677157082</v>
      </c>
      <c r="I54" s="9">
        <v>12756837.249422293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1953961.7399999977</v>
      </c>
      <c r="Q54" s="9">
        <v>0</v>
      </c>
      <c r="S54" s="9">
        <v>0</v>
      </c>
      <c r="T54" s="9">
        <v>0</v>
      </c>
      <c r="U54" s="9">
        <v>0</v>
      </c>
      <c r="X54">
        <v>784299006.1578418</v>
      </c>
      <c r="Y54" s="11">
        <f t="shared" si="0"/>
        <v>0</v>
      </c>
    </row>
    <row r="55" spans="2:25" customFormat="1" x14ac:dyDescent="0.25">
      <c r="B55" s="6" t="s">
        <v>111</v>
      </c>
      <c r="C55" s="6" t="s">
        <v>110</v>
      </c>
      <c r="D55" s="6">
        <f t="shared" si="1"/>
        <v>49</v>
      </c>
      <c r="E55" s="9">
        <v>4428880.83</v>
      </c>
      <c r="F55" s="9">
        <v>0</v>
      </c>
      <c r="G55" s="9">
        <v>0</v>
      </c>
      <c r="H55" s="9">
        <v>0</v>
      </c>
      <c r="I55" s="9">
        <v>0</v>
      </c>
      <c r="J55" s="9">
        <v>449278.71999999997</v>
      </c>
      <c r="K55" s="9">
        <v>0</v>
      </c>
      <c r="L55" s="9">
        <v>12396.600000000002</v>
      </c>
      <c r="M55" s="9">
        <v>77907.570000000007</v>
      </c>
      <c r="N55" s="9">
        <v>2871711.62</v>
      </c>
      <c r="O55" s="9">
        <v>1014163.3200000001</v>
      </c>
      <c r="P55" s="9">
        <v>0</v>
      </c>
      <c r="Q55" s="9">
        <v>3423.0000000000005</v>
      </c>
      <c r="S55" s="9">
        <v>449278.71999999997</v>
      </c>
      <c r="T55" s="9">
        <v>0</v>
      </c>
      <c r="U55" s="9">
        <v>12396.600000000002</v>
      </c>
      <c r="X55">
        <v>4428880.83</v>
      </c>
      <c r="Y55" s="11">
        <f t="shared" si="0"/>
        <v>0</v>
      </c>
    </row>
    <row r="56" spans="2:25" customFormat="1" x14ac:dyDescent="0.25">
      <c r="B56" s="6" t="s">
        <v>113</v>
      </c>
      <c r="C56" s="6" t="s">
        <v>112</v>
      </c>
      <c r="D56" s="6">
        <f t="shared" si="1"/>
        <v>50</v>
      </c>
      <c r="E56" s="9">
        <v>10961926.885423223</v>
      </c>
      <c r="F56" s="9">
        <v>10494946.737496169</v>
      </c>
      <c r="G56" s="9">
        <v>250681.08714269023</v>
      </c>
      <c r="H56" s="9">
        <v>162546.49350117234</v>
      </c>
      <c r="I56" s="9">
        <v>16784.689999999999</v>
      </c>
      <c r="J56" s="9">
        <v>30627.212307692309</v>
      </c>
      <c r="K56" s="9">
        <v>4443.66</v>
      </c>
      <c r="L56" s="9">
        <v>0</v>
      </c>
      <c r="M56" s="9">
        <v>0</v>
      </c>
      <c r="N56" s="9">
        <v>0</v>
      </c>
      <c r="O56" s="9">
        <v>0</v>
      </c>
      <c r="P56" s="9">
        <v>1897.0049755</v>
      </c>
      <c r="Q56" s="9">
        <v>0</v>
      </c>
      <c r="S56" s="9">
        <v>30627.212307692309</v>
      </c>
      <c r="T56" s="9">
        <v>4443.66</v>
      </c>
      <c r="U56" s="9">
        <v>0</v>
      </c>
      <c r="X56">
        <v>10961926.885423223</v>
      </c>
      <c r="Y56" s="11">
        <f t="shared" si="0"/>
        <v>0</v>
      </c>
    </row>
    <row r="57" spans="2:25" customFormat="1" x14ac:dyDescent="0.25">
      <c r="B57" s="6" t="s">
        <v>115</v>
      </c>
      <c r="C57" s="6" t="s">
        <v>114</v>
      </c>
      <c r="D57" s="6">
        <f t="shared" si="1"/>
        <v>51</v>
      </c>
      <c r="E57" s="9">
        <v>24444937399.34943</v>
      </c>
      <c r="F57" s="9">
        <v>11476152247.161776</v>
      </c>
      <c r="G57" s="9">
        <v>2915955626.4103169</v>
      </c>
      <c r="H57" s="9">
        <v>3242765959.9604325</v>
      </c>
      <c r="I57" s="9">
        <v>2092770306.5275679</v>
      </c>
      <c r="J57" s="9">
        <v>1456029850.0547175</v>
      </c>
      <c r="K57" s="9">
        <v>4597572.0317007378</v>
      </c>
      <c r="L57" s="9">
        <v>126890757.18193617</v>
      </c>
      <c r="M57" s="9">
        <v>350081232.79927498</v>
      </c>
      <c r="N57" s="9">
        <v>630228919.26662493</v>
      </c>
      <c r="O57" s="9">
        <v>2066150549.7926297</v>
      </c>
      <c r="P57" s="9">
        <v>75887375.026475519</v>
      </c>
      <c r="Q57" s="9">
        <v>7427003.1359829875</v>
      </c>
      <c r="S57" s="9">
        <v>1456029850.0547175</v>
      </c>
      <c r="T57" s="9">
        <v>4597572.0317007378</v>
      </c>
      <c r="U57" s="9">
        <v>126890757.18193617</v>
      </c>
      <c r="X57">
        <v>24444937399.34943</v>
      </c>
      <c r="Y57" s="11">
        <f t="shared" si="0"/>
        <v>0</v>
      </c>
    </row>
    <row r="58" spans="2:25" customFormat="1" x14ac:dyDescent="0.25">
      <c r="B58" s="6" t="s">
        <v>117</v>
      </c>
      <c r="C58" s="6" t="s">
        <v>116</v>
      </c>
      <c r="D58" s="6">
        <f t="shared" si="1"/>
        <v>52</v>
      </c>
      <c r="E58" s="9">
        <v>22028705616.757526</v>
      </c>
      <c r="F58" s="9">
        <v>11476152247.161776</v>
      </c>
      <c r="G58" s="9">
        <v>2915955626.4103169</v>
      </c>
      <c r="H58" s="9">
        <v>3242765959.9604325</v>
      </c>
      <c r="I58" s="9">
        <v>2092770306.5275679</v>
      </c>
      <c r="J58" s="9">
        <v>1456029850.0547175</v>
      </c>
      <c r="K58" s="9">
        <v>4597572.0317007378</v>
      </c>
      <c r="L58" s="9">
        <v>126890757.18193617</v>
      </c>
      <c r="M58" s="9">
        <v>0</v>
      </c>
      <c r="N58" s="9">
        <v>630228919.26662493</v>
      </c>
      <c r="O58" s="9">
        <v>0</v>
      </c>
      <c r="P58" s="9">
        <v>75887375.026475519</v>
      </c>
      <c r="Q58" s="9">
        <v>7427003.1359829875</v>
      </c>
      <c r="S58" s="9">
        <v>1456029850.0547175</v>
      </c>
      <c r="T58" s="9">
        <v>4597572.0317007378</v>
      </c>
      <c r="U58" s="9">
        <v>126890757.18193617</v>
      </c>
      <c r="X58">
        <v>22028705616.757526</v>
      </c>
      <c r="Y58" s="11">
        <f t="shared" si="0"/>
        <v>0</v>
      </c>
    </row>
    <row r="59" spans="2:25" customFormat="1" x14ac:dyDescent="0.25">
      <c r="B59" s="8"/>
      <c r="C59" s="7" t="s">
        <v>18</v>
      </c>
      <c r="D59" s="6">
        <f t="shared" si="1"/>
        <v>53</v>
      </c>
    </row>
    <row r="60" spans="2:25" x14ac:dyDescent="0.25">
      <c r="B60" s="6" t="s">
        <v>122</v>
      </c>
      <c r="C60" s="6" t="s">
        <v>121</v>
      </c>
      <c r="D60" s="6">
        <f t="shared" si="1"/>
        <v>54</v>
      </c>
      <c r="E60" s="14">
        <f>SUM(F60:Q60)</f>
        <v>51487999.999999993</v>
      </c>
      <c r="F60" s="42">
        <f>SUM('Rate Base'!G39:G40)</f>
        <v>21372455.737104561</v>
      </c>
      <c r="G60" s="42">
        <f>SUM('Rate Base'!H39:H40)</f>
        <v>6889967.5375397019</v>
      </c>
      <c r="H60" s="42">
        <f>SUM('Rate Base'!I39:I40)</f>
        <v>8964074.9893805142</v>
      </c>
      <c r="I60" s="42">
        <f>SUM('Rate Base'!J39:J40)</f>
        <v>5268260.9435781874</v>
      </c>
      <c r="J60" s="42">
        <f>SUM('Rate Base'!K39:K40)</f>
        <v>4339290.7146512726</v>
      </c>
      <c r="K60" s="42">
        <f>SUM('Rate Base'!L39:L40)</f>
        <v>949.85422932245592</v>
      </c>
      <c r="L60" s="42">
        <f>SUM('Rate Base'!M39:M40)</f>
        <v>221834.13773903536</v>
      </c>
      <c r="M60" s="42">
        <f>SUM('Rate Base'!N39:N40)</f>
        <v>4381901.8082543351</v>
      </c>
      <c r="N60" s="42">
        <f>SUM('Rate Base'!O39:O40)</f>
        <v>16046.563877077044</v>
      </c>
      <c r="O60" s="42">
        <f>SUM('Rate Base'!P39:P40)</f>
        <v>0</v>
      </c>
      <c r="P60" s="42">
        <f>SUM('Rate Base'!Q39:Q40)</f>
        <v>30334.570252941056</v>
      </c>
      <c r="Q60" s="42">
        <f>SUM('Rate Base'!R39:R40)</f>
        <v>2883.1433930444241</v>
      </c>
      <c r="X60" s="14">
        <v>51488000</v>
      </c>
      <c r="Y60" s="95">
        <f>E60-SUM(F60:Q60)</f>
        <v>0</v>
      </c>
    </row>
    <row r="61" spans="2:25" x14ac:dyDescent="0.25">
      <c r="B61" s="6" t="s">
        <v>122</v>
      </c>
      <c r="C61" s="6" t="s">
        <v>123</v>
      </c>
      <c r="D61" s="6">
        <f t="shared" si="1"/>
        <v>55</v>
      </c>
      <c r="E61" s="14">
        <f t="shared" ref="E61:E89" si="2">SUM(F61:Q61)</f>
        <v>8103000.0000000009</v>
      </c>
      <c r="F61" s="42">
        <f>SUM('Rate Base'!G41:G42)</f>
        <v>3792899.44249753</v>
      </c>
      <c r="G61" s="42">
        <f>SUM('Rate Base'!H41:H42)</f>
        <v>1044125.5497413003</v>
      </c>
      <c r="H61" s="42">
        <f>SUM('Rate Base'!I41:I42)</f>
        <v>1296782.1146047371</v>
      </c>
      <c r="I61" s="42">
        <f>SUM('Rate Base'!J41:J42)</f>
        <v>754188.6889221567</v>
      </c>
      <c r="J61" s="42">
        <f>SUM('Rate Base'!K41:K42)</f>
        <v>495124.92649974383</v>
      </c>
      <c r="K61" s="42">
        <f>SUM('Rate Base'!L41:L42)</f>
        <v>1.0767494427319133</v>
      </c>
      <c r="L61" s="42">
        <f>SUM('Rate Base'!M41:M42)</f>
        <v>60872.41462068462</v>
      </c>
      <c r="M61" s="42">
        <f>SUM('Rate Base'!N41:N42)</f>
        <v>359066.02125357295</v>
      </c>
      <c r="N61" s="42">
        <f>SUM('Rate Base'!O41:O42)</f>
        <v>134228.77736994543</v>
      </c>
      <c r="O61" s="42">
        <f>SUM('Rate Base'!P41:P42)</f>
        <v>159099.74616251249</v>
      </c>
      <c r="P61" s="42">
        <f>SUM('Rate Base'!Q41:Q42)</f>
        <v>5763.3013922225664</v>
      </c>
      <c r="Q61" s="42">
        <f>SUM('Rate Base'!R41:R42)</f>
        <v>847.94018615138168</v>
      </c>
      <c r="X61" s="14">
        <v>8103000</v>
      </c>
      <c r="Y61" s="95">
        <f t="shared" ref="Y61:Y89" si="3">E61-SUM(F61:Q61)</f>
        <v>0</v>
      </c>
    </row>
    <row r="62" spans="2:25" x14ac:dyDescent="0.25">
      <c r="B62" s="6" t="s">
        <v>125</v>
      </c>
      <c r="C62" s="6" t="s">
        <v>124</v>
      </c>
      <c r="D62" s="6">
        <f t="shared" si="1"/>
        <v>56</v>
      </c>
      <c r="E62" s="14">
        <f t="shared" si="2"/>
        <v>471185999.99999994</v>
      </c>
      <c r="F62" s="42">
        <f>SUM('Rate Base'!G43:G44)</f>
        <v>244351600.54763758</v>
      </c>
      <c r="G62" s="42">
        <f>SUM('Rate Base'!H43:H44)</f>
        <v>59077851.688851751</v>
      </c>
      <c r="H62" s="42">
        <f>SUM('Rate Base'!I43:I44)</f>
        <v>64914131.167985559</v>
      </c>
      <c r="I62" s="42">
        <f>SUM('Rate Base'!J43:J44)</f>
        <v>34540268.724038981</v>
      </c>
      <c r="J62" s="42">
        <f>SUM('Rate Base'!K43:K44)</f>
        <v>31405453.884710141</v>
      </c>
      <c r="K62" s="42">
        <f>SUM('Rate Base'!L43:L44)</f>
        <v>113070.2220244175</v>
      </c>
      <c r="L62" s="42">
        <f>SUM('Rate Base'!M43:M44)</f>
        <v>3531377.7871913705</v>
      </c>
      <c r="M62" s="42">
        <f>SUM('Rate Base'!N43:N44)</f>
        <v>15160583.846818591</v>
      </c>
      <c r="N62" s="42">
        <f>SUM('Rate Base'!O43:O44)</f>
        <v>12313198.493169427</v>
      </c>
      <c r="O62" s="42">
        <f>SUM('Rate Base'!P43:P44)</f>
        <v>5304941.1516191633</v>
      </c>
      <c r="P62" s="42">
        <f>SUM('Rate Base'!Q43:Q44)</f>
        <v>353145.04930748604</v>
      </c>
      <c r="Q62" s="42">
        <f>SUM('Rate Base'!R43:R44)</f>
        <v>120377.43664552382</v>
      </c>
      <c r="X62" s="14">
        <v>471186000</v>
      </c>
      <c r="Y62" s="95">
        <f t="shared" si="3"/>
        <v>0</v>
      </c>
    </row>
    <row r="63" spans="2:25" x14ac:dyDescent="0.25">
      <c r="B63" s="6" t="s">
        <v>127</v>
      </c>
      <c r="C63" s="6" t="s">
        <v>126</v>
      </c>
      <c r="D63" s="6">
        <f t="shared" si="1"/>
        <v>57</v>
      </c>
      <c r="E63" s="14">
        <f t="shared" si="2"/>
        <v>844422820.13768768</v>
      </c>
      <c r="F63" s="42">
        <f>'Rate Base'!G47+'Rate Base'!G48+'Rate Base'!G46</f>
        <v>581937748.76052105</v>
      </c>
      <c r="G63" s="42">
        <f>'Rate Base'!H47+'Rate Base'!H48+'Rate Base'!H46</f>
        <v>106330057.47600698</v>
      </c>
      <c r="H63" s="42">
        <f>'Rate Base'!I47+'Rate Base'!I48+'Rate Base'!I46</f>
        <v>82664122.577238679</v>
      </c>
      <c r="I63" s="42">
        <f>'Rate Base'!J47+'Rate Base'!J48+'Rate Base'!J46</f>
        <v>32700631.350177687</v>
      </c>
      <c r="J63" s="42">
        <f>'Rate Base'!K47+'Rate Base'!K48+'Rate Base'!K46</f>
        <v>30609242.872830883</v>
      </c>
      <c r="K63" s="42">
        <f>'Rate Base'!L47+'Rate Base'!L48+'Rate Base'!L46</f>
        <v>766672.82381245471</v>
      </c>
      <c r="L63" s="42">
        <f>'Rate Base'!M47+'Rate Base'!M48+'Rate Base'!M46</f>
        <v>8248517.5712388661</v>
      </c>
      <c r="M63" s="42">
        <f>'Rate Base'!N47+'Rate Base'!N48+'Rate Base'!N46</f>
        <v>71791.370995891833</v>
      </c>
      <c r="N63" s="42">
        <f>'Rate Base'!O47+'Rate Base'!O48+'Rate Base'!O46</f>
        <v>0</v>
      </c>
      <c r="O63" s="42">
        <f>'Rate Base'!P47+'Rate Base'!P48+'Rate Base'!P46</f>
        <v>0</v>
      </c>
      <c r="P63" s="42">
        <f>'Rate Base'!Q47+'Rate Base'!Q48+'Rate Base'!Q46</f>
        <v>511397.91234392719</v>
      </c>
      <c r="Q63" s="42">
        <f>'Rate Base'!R47+'Rate Base'!R48+'Rate Base'!R46</f>
        <v>582637.42252119072</v>
      </c>
      <c r="X63" s="14">
        <v>844422820.1376878</v>
      </c>
      <c r="Y63" s="95">
        <f t="shared" si="3"/>
        <v>0</v>
      </c>
    </row>
    <row r="64" spans="2:25" x14ac:dyDescent="0.25">
      <c r="B64" s="6" t="s">
        <v>129</v>
      </c>
      <c r="C64" s="6" t="s">
        <v>128</v>
      </c>
      <c r="D64" s="6">
        <f t="shared" si="1"/>
        <v>58</v>
      </c>
      <c r="E64" s="14">
        <f t="shared" si="2"/>
        <v>1733346677.389461</v>
      </c>
      <c r="F64" s="42">
        <f>SUM('Rate Base'!G49:G51)</f>
        <v>1147188674.5933521</v>
      </c>
      <c r="G64" s="42">
        <f>SUM('Rate Base'!H49:H51)</f>
        <v>204414987.3002581</v>
      </c>
      <c r="H64" s="42">
        <f>SUM('Rate Base'!I49:I51)</f>
        <v>190755765.52233809</v>
      </c>
      <c r="I64" s="42">
        <f>SUM('Rate Base'!J49:J51)</f>
        <v>82820865.512853488</v>
      </c>
      <c r="J64" s="42">
        <f>SUM('Rate Base'!K49:K51)</f>
        <v>59074443.691759177</v>
      </c>
      <c r="K64" s="42">
        <f>SUM('Rate Base'!L49:L51)</f>
        <v>701556.56408871245</v>
      </c>
      <c r="L64" s="42">
        <f>SUM('Rate Base'!M49:M51)</f>
        <v>18394305.9610826</v>
      </c>
      <c r="M64" s="42">
        <f>SUM('Rate Base'!N49:N51)</f>
        <v>23101629.51589638</v>
      </c>
      <c r="N64" s="42">
        <f>SUM('Rate Base'!O49:O51)</f>
        <v>5608088.4825534066</v>
      </c>
      <c r="O64" s="42">
        <f>SUM('Rate Base'!P49:P51)</f>
        <v>33701.416388018217</v>
      </c>
      <c r="P64" s="42">
        <f>SUM('Rate Base'!Q49:Q51)</f>
        <v>786081.45132831635</v>
      </c>
      <c r="Q64" s="42">
        <f>SUM('Rate Base'!R49:R51)</f>
        <v>466577.37756261346</v>
      </c>
      <c r="X64" s="14">
        <v>1733346677.389461</v>
      </c>
      <c r="Y64" s="95">
        <f t="shared" si="3"/>
        <v>0</v>
      </c>
    </row>
    <row r="65" spans="2:25" x14ac:dyDescent="0.25">
      <c r="B65" s="6" t="s">
        <v>131</v>
      </c>
      <c r="C65" s="6" t="s">
        <v>130</v>
      </c>
      <c r="D65" s="6">
        <f t="shared" si="1"/>
        <v>59</v>
      </c>
      <c r="E65" s="14">
        <f t="shared" si="2"/>
        <v>499533456.54961985</v>
      </c>
      <c r="F65" s="42">
        <f>SUM('Rate Base'!G52:G54)</f>
        <v>383945888.86365861</v>
      </c>
      <c r="G65" s="42">
        <f>SUM('Rate Base'!H52:H54)</f>
        <v>60546586.126946419</v>
      </c>
      <c r="H65" s="42">
        <f>SUM('Rate Base'!I52:I54)</f>
        <v>21842883.45091062</v>
      </c>
      <c r="I65" s="42">
        <f>SUM('Rate Base'!J52:J54)</f>
        <v>5213056.3602464003</v>
      </c>
      <c r="J65" s="42">
        <f>SUM('Rate Base'!K52:K54)</f>
        <v>2507661.8666352136</v>
      </c>
      <c r="K65" s="42">
        <f>SUM('Rate Base'!L52:L54)</f>
        <v>0</v>
      </c>
      <c r="L65" s="42">
        <f>SUM('Rate Base'!M52:M54)</f>
        <v>143717.78811025881</v>
      </c>
      <c r="M65" s="42">
        <f>SUM('Rate Base'!N52:N54)</f>
        <v>4867465.4686576258</v>
      </c>
      <c r="N65" s="42">
        <f>SUM('Rate Base'!O52:O54)</f>
        <v>0</v>
      </c>
      <c r="O65" s="42">
        <f>SUM('Rate Base'!P52:P54)</f>
        <v>0</v>
      </c>
      <c r="P65" s="42">
        <f>SUM('Rate Base'!Q52:Q54)</f>
        <v>20407196.77107273</v>
      </c>
      <c r="Q65" s="42">
        <f>SUM('Rate Base'!R52:R54)</f>
        <v>58999.853382014429</v>
      </c>
      <c r="X65" s="14">
        <v>499533456.54961985</v>
      </c>
      <c r="Y65" s="95">
        <f t="shared" si="3"/>
        <v>0</v>
      </c>
    </row>
    <row r="66" spans="2:25" x14ac:dyDescent="0.25">
      <c r="B66" s="6" t="s">
        <v>133</v>
      </c>
      <c r="C66" s="6" t="s">
        <v>132</v>
      </c>
      <c r="D66" s="6">
        <f t="shared" si="1"/>
        <v>60</v>
      </c>
      <c r="E66" s="14">
        <f t="shared" si="2"/>
        <v>189031794.26238751</v>
      </c>
      <c r="F66" s="42">
        <f>SUM('Rate Base'!G55:G56)</f>
        <v>183429207.03493428</v>
      </c>
      <c r="G66" s="42">
        <f>SUM('Rate Base'!H55:H56)</f>
        <v>5391540.3962266576</v>
      </c>
      <c r="H66" s="42">
        <f>SUM('Rate Base'!I55:I56)</f>
        <v>206571.28579529174</v>
      </c>
      <c r="I66" s="42">
        <f>SUM('Rate Base'!J55:J56)</f>
        <v>4475.5454312894217</v>
      </c>
      <c r="J66" s="42">
        <f>SUM('Rate Base'!K55:K56)</f>
        <v>0</v>
      </c>
      <c r="K66" s="42">
        <f>SUM('Rate Base'!L55:L56)</f>
        <v>0</v>
      </c>
      <c r="L66" s="42">
        <f>SUM('Rate Base'!M55:M56)</f>
        <v>0</v>
      </c>
      <c r="M66" s="42">
        <f>SUM('Rate Base'!N55:N56)</f>
        <v>0</v>
      </c>
      <c r="N66" s="42">
        <f>SUM('Rate Base'!O55:O56)</f>
        <v>0</v>
      </c>
      <c r="O66" s="42">
        <f>SUM('Rate Base'!P55:P56)</f>
        <v>0</v>
      </c>
      <c r="P66" s="42">
        <f>SUM('Rate Base'!Q55:Q56)</f>
        <v>0</v>
      </c>
      <c r="Q66" s="42">
        <f>SUM('Rate Base'!R55:R56)</f>
        <v>0</v>
      </c>
      <c r="X66" s="14">
        <v>189031794.26238751</v>
      </c>
      <c r="Y66" s="95">
        <f t="shared" si="3"/>
        <v>0</v>
      </c>
    </row>
    <row r="67" spans="2:25" x14ac:dyDescent="0.25">
      <c r="B67" s="6" t="s">
        <v>135</v>
      </c>
      <c r="C67" s="6" t="s">
        <v>134</v>
      </c>
      <c r="D67" s="6">
        <f t="shared" si="1"/>
        <v>61</v>
      </c>
      <c r="E67" s="14">
        <f t="shared" si="2"/>
        <v>206004867.61000001</v>
      </c>
      <c r="F67" s="42">
        <f>'Rate Base'!G57</f>
        <v>133743709.16973646</v>
      </c>
      <c r="G67" s="42">
        <f>'Rate Base'!H57</f>
        <v>37539912.318899311</v>
      </c>
      <c r="H67" s="42">
        <f>'Rate Base'!I57</f>
        <v>11094399.206289688</v>
      </c>
      <c r="I67" s="42">
        <f>'Rate Base'!J57</f>
        <v>1246915.3080466578</v>
      </c>
      <c r="J67" s="42">
        <f>'Rate Base'!K57</f>
        <v>14935303.536787456</v>
      </c>
      <c r="K67" s="42">
        <f>'Rate Base'!L57</f>
        <v>48424.959903730029</v>
      </c>
      <c r="L67" s="42">
        <f>'Rate Base'!M57</f>
        <v>4826816.6046611229</v>
      </c>
      <c r="M67" s="42">
        <f>'Rate Base'!N57</f>
        <v>976230.67360039195</v>
      </c>
      <c r="N67" s="42">
        <f>'Rate Base'!O57</f>
        <v>606236.92276222247</v>
      </c>
      <c r="O67" s="42">
        <f>'Rate Base'!P57</f>
        <v>976036.22035163466</v>
      </c>
      <c r="P67" s="42">
        <f>'Rate Base'!Q57</f>
        <v>0</v>
      </c>
      <c r="Q67" s="42">
        <f>'Rate Base'!R57</f>
        <v>10882.688961321393</v>
      </c>
      <c r="X67" s="14">
        <v>206004867.61000001</v>
      </c>
      <c r="Y67" s="95">
        <f t="shared" si="3"/>
        <v>0</v>
      </c>
    </row>
    <row r="68" spans="2:25" x14ac:dyDescent="0.25">
      <c r="B68" s="6" t="s">
        <v>137</v>
      </c>
      <c r="C68" s="6" t="s">
        <v>136</v>
      </c>
      <c r="D68" s="6">
        <f t="shared" si="1"/>
        <v>62</v>
      </c>
      <c r="E68" s="14">
        <f t="shared" ca="1" si="2"/>
        <v>275723939.88874012</v>
      </c>
      <c r="F68" s="42">
        <f ca="1">Expenses!G41+Expenses!G56+Expenses!G69+Expenses!G77+Expenses!G88+Expenses!G114-Expenses!G81</f>
        <v>173869505.87561372</v>
      </c>
      <c r="G68" s="42">
        <f ca="1">Expenses!H41+Expenses!H56+Expenses!H69+Expenses!H77+Expenses!H88+Expenses!H114-Expenses!H81</f>
        <v>33632384.657331705</v>
      </c>
      <c r="H68" s="42">
        <f ca="1">Expenses!I41+Expenses!I56+Expenses!I69+Expenses!I77+Expenses!I88+Expenses!I114-Expenses!I81</f>
        <v>27995515.293586086</v>
      </c>
      <c r="I68" s="42">
        <f ca="1">Expenses!J41+Expenses!J56+Expenses!J69+Expenses!J77+Expenses!J88+Expenses!J114-Expenses!J81</f>
        <v>15994201.839186167</v>
      </c>
      <c r="J68" s="42">
        <f ca="1">Expenses!K41+Expenses!K56+Expenses!K69+Expenses!K77+Expenses!K88+Expenses!K114-Expenses!K81</f>
        <v>12660810.602046914</v>
      </c>
      <c r="K68" s="42">
        <f ca="1">Expenses!L41+Expenses!L56+Expenses!L69+Expenses!L77+Expenses!L88+Expenses!L114-Expenses!L81</f>
        <v>76482.52637453741</v>
      </c>
      <c r="L68" s="42">
        <f ca="1">Expenses!M41+Expenses!M56+Expenses!M69+Expenses!M77+Expenses!M88+Expenses!M114-Expenses!M81</f>
        <v>1676548.3963951296</v>
      </c>
      <c r="M68" s="42">
        <f ca="1">Expenses!N41+Expenses!N56+Expenses!N69+Expenses!N77+Expenses!N88+Expenses!N114-Expenses!N81</f>
        <v>883160.61968275567</v>
      </c>
      <c r="N68" s="42">
        <f ca="1">Expenses!O41+Expenses!O56+Expenses!O69+Expenses!O77+Expenses!O88+Expenses!O114-Expenses!O81</f>
        <v>3981350.278702165</v>
      </c>
      <c r="O68" s="42">
        <f ca="1">Expenses!P41+Expenses!P56+Expenses!P69+Expenses!P77+Expenses!P88+Expenses!P114-Expenses!P81</f>
        <v>1864339.9567268775</v>
      </c>
      <c r="P68" s="42">
        <f ca="1">Expenses!Q41+Expenses!Q56+Expenses!Q69+Expenses!Q77+Expenses!Q88+Expenses!Q114-Expenses!Q81</f>
        <v>3007070.8895796807</v>
      </c>
      <c r="Q68" s="42">
        <f ca="1">Expenses!R41+Expenses!R56+Expenses!R69+Expenses!R77+Expenses!R88+Expenses!R114-Expenses!R81</f>
        <v>82568.953514481473</v>
      </c>
      <c r="X68" s="14">
        <v>275723939.88874024</v>
      </c>
      <c r="Y68" s="95">
        <f t="shared" ca="1" si="3"/>
        <v>0</v>
      </c>
    </row>
    <row r="69" spans="2:25" x14ac:dyDescent="0.25">
      <c r="B69" s="12" t="s">
        <v>139</v>
      </c>
      <c r="C69" s="6" t="s">
        <v>138</v>
      </c>
      <c r="D69" s="6">
        <f t="shared" si="1"/>
        <v>63</v>
      </c>
      <c r="E69" s="14">
        <f t="shared" si="2"/>
        <v>52087545.219702162</v>
      </c>
      <c r="F69" s="60">
        <f>Expenses!G77</f>
        <v>45306511.382084087</v>
      </c>
      <c r="G69" s="42">
        <f>Expenses!H77</f>
        <v>4745940.4466039781</v>
      </c>
      <c r="H69" s="42">
        <f>Expenses!I77</f>
        <v>477500.29486942687</v>
      </c>
      <c r="I69" s="42">
        <f>Expenses!J77</f>
        <v>506672.61410894763</v>
      </c>
      <c r="J69" s="42">
        <f>Expenses!K77</f>
        <v>547641.61910462333</v>
      </c>
      <c r="K69" s="42">
        <f>Expenses!L77</f>
        <v>46.229974015084736</v>
      </c>
      <c r="L69" s="42">
        <f>Expenses!M77</f>
        <v>15327.650120671631</v>
      </c>
      <c r="M69" s="42">
        <f>Expenses!N77</f>
        <v>62194.004899910084</v>
      </c>
      <c r="N69" s="42">
        <f>Expenses!O77</f>
        <v>99206.928085480482</v>
      </c>
      <c r="O69" s="42">
        <f>Expenses!P77</f>
        <v>177139.9076600589</v>
      </c>
      <c r="P69" s="42">
        <f>Expenses!Q77</f>
        <v>149266.14185084932</v>
      </c>
      <c r="Q69" s="42">
        <f>Expenses!R77</f>
        <v>98.000340105873661</v>
      </c>
      <c r="X69" s="15">
        <v>52087545.219702169</v>
      </c>
      <c r="Y69" s="95">
        <f t="shared" si="3"/>
        <v>0</v>
      </c>
    </row>
    <row r="70" spans="2:25" x14ac:dyDescent="0.25">
      <c r="B70" s="6" t="s">
        <v>141</v>
      </c>
      <c r="C70" s="6" t="s">
        <v>140</v>
      </c>
      <c r="D70" s="6">
        <f t="shared" si="1"/>
        <v>64</v>
      </c>
      <c r="E70" s="14">
        <f t="shared" si="2"/>
        <v>51952923.293316603</v>
      </c>
      <c r="F70" s="42">
        <f>SUM(Expenses!G73:G76)</f>
        <v>45189415.25451003</v>
      </c>
      <c r="G70" s="42">
        <f>SUM(Expenses!H73:H76)</f>
        <v>4733674.4117440479</v>
      </c>
      <c r="H70" s="42">
        <f>SUM(Expenses!I73:I76)</f>
        <v>476266.18008682656</v>
      </c>
      <c r="I70" s="42">
        <f>SUM(Expenses!J73:J76)</f>
        <v>505363.10253433883</v>
      </c>
      <c r="J70" s="42">
        <f>SUM(Expenses!K73:K76)</f>
        <v>546226.22182641004</v>
      </c>
      <c r="K70" s="42">
        <f>SUM(Expenses!L73:L76)</f>
        <v>46.11049116880325</v>
      </c>
      <c r="L70" s="42">
        <f>SUM(Expenses!M73:M76)</f>
        <v>15288.035318754872</v>
      </c>
      <c r="M70" s="42">
        <f>SUM(Expenses!N73:N76)</f>
        <v>62033.262505275357</v>
      </c>
      <c r="N70" s="42">
        <f>SUM(Expenses!O73:O76)</f>
        <v>98950.524607195432</v>
      </c>
      <c r="O70" s="42">
        <f>SUM(Expenses!P73:P76)</f>
        <v>176682.08390375835</v>
      </c>
      <c r="P70" s="42">
        <f>SUM(Expenses!Q73:Q76)</f>
        <v>148880.35873368868</v>
      </c>
      <c r="Q70" s="42">
        <f>SUM(Expenses!R73:R76)</f>
        <v>97.747055092808708</v>
      </c>
      <c r="X70" s="14">
        <v>51952923.293316603</v>
      </c>
      <c r="Y70" s="95">
        <f t="shared" si="3"/>
        <v>0</v>
      </c>
    </row>
    <row r="71" spans="2:25" x14ac:dyDescent="0.25">
      <c r="B71" s="12" t="s">
        <v>143</v>
      </c>
      <c r="C71" s="6" t="s">
        <v>142</v>
      </c>
      <c r="D71" s="6">
        <f t="shared" si="1"/>
        <v>65</v>
      </c>
      <c r="E71" s="14">
        <f t="shared" si="2"/>
        <v>17588898.471732054</v>
      </c>
      <c r="F71" s="68">
        <f>SUM(Expenses!G59:G66)</f>
        <v>11220283.848073497</v>
      </c>
      <c r="G71" s="68">
        <f>SUM(Expenses!H59:H66)</f>
        <v>2496528.3924954399</v>
      </c>
      <c r="H71" s="68">
        <f>SUM(Expenses!I59:I66)</f>
        <v>1587374.3055400522</v>
      </c>
      <c r="I71" s="68">
        <f>SUM(Expenses!J59:J66)</f>
        <v>598509.10487286421</v>
      </c>
      <c r="J71" s="68">
        <f>SUM(Expenses!K59:K66)</f>
        <v>911370.15551282873</v>
      </c>
      <c r="K71" s="68">
        <f>SUM(Expenses!L59:L66)</f>
        <v>7260.6252010578883</v>
      </c>
      <c r="L71" s="68">
        <f>SUM(Expenses!M59:M66)</f>
        <v>255111.94290563918</v>
      </c>
      <c r="M71" s="68">
        <f>SUM(Expenses!N59:N66)</f>
        <v>176922.22659951451</v>
      </c>
      <c r="N71" s="68">
        <f>SUM(Expenses!O59:O66)</f>
        <v>94232.225980744683</v>
      </c>
      <c r="O71" s="68">
        <f>SUM(Expenses!P59:P66)</f>
        <v>54333.014710852876</v>
      </c>
      <c r="P71" s="68">
        <f>SUM(Expenses!Q59:Q66)</f>
        <v>182299.36019465915</v>
      </c>
      <c r="Q71" s="68">
        <f>SUM(Expenses!R59:R66)</f>
        <v>4673.2696449034402</v>
      </c>
      <c r="X71" s="15">
        <v>17588898.471732054</v>
      </c>
      <c r="Y71" s="95">
        <f t="shared" si="3"/>
        <v>0</v>
      </c>
    </row>
    <row r="72" spans="2:25" x14ac:dyDescent="0.25">
      <c r="B72" s="6" t="s">
        <v>145</v>
      </c>
      <c r="C72" s="6" t="s">
        <v>144</v>
      </c>
      <c r="D72" s="6">
        <f t="shared" si="1"/>
        <v>66</v>
      </c>
      <c r="E72" s="14">
        <f t="shared" si="2"/>
        <v>52368320.682559706</v>
      </c>
      <c r="F72" s="42">
        <f>SUM(Expenses!G106:G112)</f>
        <v>34107659.296661749</v>
      </c>
      <c r="G72" s="42">
        <f>SUM(Expenses!H106:H112)</f>
        <v>6272104.2311971216</v>
      </c>
      <c r="H72" s="42">
        <f>SUM(Expenses!I106:I112)</f>
        <v>5108252.3777034897</v>
      </c>
      <c r="I72" s="42">
        <f>SUM(Expenses!J106:J112)</f>
        <v>2092347.205768083</v>
      </c>
      <c r="J72" s="42">
        <f>SUM(Expenses!K106:K112)</f>
        <v>1859039.8546213189</v>
      </c>
      <c r="K72" s="42">
        <f>SUM(Expenses!L106:L112)</f>
        <v>37992.380020267949</v>
      </c>
      <c r="L72" s="42">
        <f>SUM(Expenses!M106:M112)</f>
        <v>504590.41877694597</v>
      </c>
      <c r="M72" s="42">
        <f>SUM(Expenses!N106:N112)</f>
        <v>220503.34926750217</v>
      </c>
      <c r="N72" s="42">
        <f>SUM(Expenses!O106:O112)</f>
        <v>81137.638201323629</v>
      </c>
      <c r="O72" s="42">
        <f>SUM(Expenses!P106:P112)</f>
        <v>19850.810197784052</v>
      </c>
      <c r="P72" s="42">
        <f>SUM(Expenses!Q106:Q112)</f>
        <v>2036379.9252015369</v>
      </c>
      <c r="Q72" s="42">
        <f>SUM(Expenses!R106:R112)</f>
        <v>28463.194942575537</v>
      </c>
      <c r="X72" s="14">
        <v>52368320.682559699</v>
      </c>
      <c r="Y72" s="95">
        <f t="shared" si="3"/>
        <v>0</v>
      </c>
    </row>
    <row r="73" spans="2:25" x14ac:dyDescent="0.25">
      <c r="B73" s="12" t="s">
        <v>147</v>
      </c>
      <c r="C73" s="6" t="s">
        <v>146</v>
      </c>
      <c r="D73" s="6">
        <f t="shared" ref="D73:D89" si="4">D72+1</f>
        <v>67</v>
      </c>
      <c r="E73" s="14">
        <f t="shared" si="2"/>
        <v>14513729.030945668</v>
      </c>
      <c r="F73" s="42">
        <f>SUM(Expenses!G60:G65)</f>
        <v>9258576.3504722044</v>
      </c>
      <c r="G73" s="42">
        <f>SUM(Expenses!H60:H65)</f>
        <v>2060045.8104283477</v>
      </c>
      <c r="H73" s="42">
        <f>SUM(Expenses!I60:I65)</f>
        <v>1309844.421372975</v>
      </c>
      <c r="I73" s="42">
        <f>SUM(Expenses!J60:J65)</f>
        <v>493868.27632436663</v>
      </c>
      <c r="J73" s="42">
        <f>SUM(Expenses!K60:K65)</f>
        <v>752030.00945524557</v>
      </c>
      <c r="K73" s="42">
        <f>SUM(Expenses!L60:L65)</f>
        <v>5991.2078594784516</v>
      </c>
      <c r="L73" s="42">
        <f>SUM(Expenses!M60:M65)</f>
        <v>210509.23784915768</v>
      </c>
      <c r="M73" s="42">
        <f>SUM(Expenses!N60:N65)</f>
        <v>145989.88450264555</v>
      </c>
      <c r="N73" s="42">
        <f>SUM(Expenses!O60:O65)</f>
        <v>77757.057729646855</v>
      </c>
      <c r="O73" s="42">
        <f>SUM(Expenses!P60:P65)</f>
        <v>44833.65767418914</v>
      </c>
      <c r="P73" s="42">
        <f>SUM(Expenses!Q60:Q65)</f>
        <v>150426.90255062334</v>
      </c>
      <c r="Q73" s="42">
        <f>SUM(Expenses!R60:R65)</f>
        <v>3856.2147267880064</v>
      </c>
      <c r="X73" s="15">
        <v>14513729.03094567</v>
      </c>
      <c r="Y73" s="95">
        <f t="shared" si="3"/>
        <v>0</v>
      </c>
    </row>
    <row r="74" spans="2:25" x14ac:dyDescent="0.25">
      <c r="B74" s="6" t="s">
        <v>149</v>
      </c>
      <c r="C74" s="6" t="s">
        <v>148</v>
      </c>
      <c r="D74" s="6">
        <f t="shared" si="4"/>
        <v>68</v>
      </c>
      <c r="E74" s="14">
        <f t="shared" si="2"/>
        <v>4089276603.8939033</v>
      </c>
      <c r="F74" s="42">
        <f>'Rate Base'!G60</f>
        <v>2719010911.8526211</v>
      </c>
      <c r="G74" s="42">
        <f>'Rate Base'!H60</f>
        <v>484732400.36369371</v>
      </c>
      <c r="H74" s="42">
        <f>'Rate Base'!I60</f>
        <v>384848541.8545351</v>
      </c>
      <c r="I74" s="42">
        <f>'Rate Base'!J60</f>
        <v>163880467.67138571</v>
      </c>
      <c r="J74" s="42">
        <f>'Rate Base'!K60</f>
        <v>144410351.02438688</v>
      </c>
      <c r="K74" s="42">
        <f>'Rate Base'!L60</f>
        <v>1646782.449539193</v>
      </c>
      <c r="L74" s="42">
        <f>'Rate Base'!M60</f>
        <v>35723443.930601932</v>
      </c>
      <c r="M74" s="42">
        <f>'Rate Base'!N60</f>
        <v>49168400.068016969</v>
      </c>
      <c r="N74" s="42">
        <f>'Rate Base'!O60</f>
        <v>18738235.52942922</v>
      </c>
      <c r="O74" s="42">
        <f>'Rate Base'!P60</f>
        <v>6474141.7221868522</v>
      </c>
      <c r="P74" s="42">
        <f>'Rate Base'!Q60</f>
        <v>79388111.802415997</v>
      </c>
      <c r="Q74" s="42">
        <f>'Rate Base'!R60</f>
        <v>1254815.6250899525</v>
      </c>
      <c r="X74" s="14">
        <v>4089276603.8939033</v>
      </c>
      <c r="Y74" s="95">
        <f t="shared" si="3"/>
        <v>0</v>
      </c>
    </row>
    <row r="75" spans="2:25" x14ac:dyDescent="0.25">
      <c r="B75" s="12" t="s">
        <v>151</v>
      </c>
      <c r="C75" s="6" t="s">
        <v>150</v>
      </c>
      <c r="D75" s="6">
        <f t="shared" si="4"/>
        <v>69</v>
      </c>
      <c r="E75" s="14">
        <f t="shared" si="2"/>
        <v>10754417110.815203</v>
      </c>
      <c r="F75" s="42">
        <f>'Rate Base'!G76</f>
        <v>6245684259.173522</v>
      </c>
      <c r="G75" s="42">
        <f>'Rate Base'!H76</f>
        <v>1341382223.4004421</v>
      </c>
      <c r="H75" s="42">
        <f>'Rate Base'!I76</f>
        <v>1311277805.7556999</v>
      </c>
      <c r="I75" s="42">
        <f>'Rate Base'!J76</f>
        <v>742981160.49841261</v>
      </c>
      <c r="J75" s="42">
        <f>'Rate Base'!K76</f>
        <v>550887425.01838303</v>
      </c>
      <c r="K75" s="42">
        <f>'Rate Base'!L76</f>
        <v>2923828.3543237499</v>
      </c>
      <c r="L75" s="42">
        <f>'Rate Base'!M76</f>
        <v>70084727.393597484</v>
      </c>
      <c r="M75" s="42">
        <f>'Rate Base'!N76</f>
        <v>72317352.818607792</v>
      </c>
      <c r="N75" s="42">
        <f>'Rate Base'!O76</f>
        <v>187221782.67197728</v>
      </c>
      <c r="O75" s="42">
        <f>'Rate Base'!P76</f>
        <v>115664428.03656586</v>
      </c>
      <c r="P75" s="42">
        <f>'Rate Base'!Q76</f>
        <v>110555105.84794153</v>
      </c>
      <c r="Q75" s="42">
        <f>'Rate Base'!R76</f>
        <v>3437011.8457281594</v>
      </c>
      <c r="X75" s="15">
        <v>10754417110.815205</v>
      </c>
      <c r="Y75" s="95">
        <f t="shared" si="3"/>
        <v>0</v>
      </c>
    </row>
    <row r="76" spans="2:25" x14ac:dyDescent="0.25">
      <c r="B76" s="6" t="s">
        <v>153</v>
      </c>
      <c r="C76" s="6" t="s">
        <v>152</v>
      </c>
      <c r="D76" s="6">
        <f t="shared" si="4"/>
        <v>70</v>
      </c>
      <c r="E76" s="14">
        <f t="shared" si="2"/>
        <v>540077856.36380005</v>
      </c>
      <c r="F76" s="42">
        <f>'Rate Base'!G74</f>
        <v>328802147.21437299</v>
      </c>
      <c r="G76" s="42">
        <f>'Rate Base'!H74</f>
        <v>65352929.709598146</v>
      </c>
      <c r="H76" s="42">
        <f>'Rate Base'!I74</f>
        <v>59319970.776982963</v>
      </c>
      <c r="I76" s="42">
        <f>'Rate Base'!J74</f>
        <v>33742850.058562957</v>
      </c>
      <c r="J76" s="42">
        <f>'Rate Base'!K74</f>
        <v>25206843.019244865</v>
      </c>
      <c r="K76" s="42">
        <f>'Rate Base'!L74</f>
        <v>132230.43754922456</v>
      </c>
      <c r="L76" s="42">
        <f>'Rate Base'!M74</f>
        <v>3178666.4002644955</v>
      </c>
      <c r="M76" s="42">
        <f>'Rate Base'!N74</f>
        <v>3290415.1911002169</v>
      </c>
      <c r="N76" s="42">
        <f>'Rate Base'!O74</f>
        <v>8446966.7171102781</v>
      </c>
      <c r="O76" s="42">
        <f>'Rate Base'!P74</f>
        <v>5042260.1539450148</v>
      </c>
      <c r="P76" s="42">
        <f>'Rate Base'!Q74</f>
        <v>7407926.3978998121</v>
      </c>
      <c r="Q76" s="42">
        <f>'Rate Base'!R74</f>
        <v>154650.28716914868</v>
      </c>
      <c r="X76" s="14">
        <v>540077856.36379993</v>
      </c>
      <c r="Y76" s="95">
        <f t="shared" si="3"/>
        <v>0</v>
      </c>
    </row>
    <row r="77" spans="2:25" x14ac:dyDescent="0.25">
      <c r="B77" s="12" t="s">
        <v>155</v>
      </c>
      <c r="C77" s="6" t="s">
        <v>154</v>
      </c>
      <c r="D77" s="6">
        <f t="shared" si="4"/>
        <v>71</v>
      </c>
      <c r="E77" s="14">
        <f t="shared" si="2"/>
        <v>2577769497.5271492</v>
      </c>
      <c r="F77" s="42">
        <f>SUM('Rate Base'!G46:G51)</f>
        <v>1729126423.3538733</v>
      </c>
      <c r="G77" s="42">
        <f>SUM('Rate Base'!H46:H51)</f>
        <v>310745044.77626508</v>
      </c>
      <c r="H77" s="42">
        <f>SUM('Rate Base'!I46:I51)</f>
        <v>273419888.09957683</v>
      </c>
      <c r="I77" s="42">
        <f>SUM('Rate Base'!J46:J51)</f>
        <v>115521496.86303118</v>
      </c>
      <c r="J77" s="42">
        <f>SUM('Rate Base'!K46:K51)</f>
        <v>89683686.564590067</v>
      </c>
      <c r="K77" s="42">
        <f>SUM('Rate Base'!L46:L51)</f>
        <v>1468229.3879011672</v>
      </c>
      <c r="L77" s="42">
        <f>SUM('Rate Base'!M46:M51)</f>
        <v>26642823.532321468</v>
      </c>
      <c r="M77" s="42">
        <f>SUM('Rate Base'!N46:N51)</f>
        <v>23173420.88689227</v>
      </c>
      <c r="N77" s="42">
        <f>SUM('Rate Base'!O46:O51)</f>
        <v>5608088.4825534066</v>
      </c>
      <c r="O77" s="42">
        <f>SUM('Rate Base'!P46:P51)</f>
        <v>33701.416388018217</v>
      </c>
      <c r="P77" s="42">
        <f>SUM('Rate Base'!Q46:Q51)</f>
        <v>1297479.3636722437</v>
      </c>
      <c r="Q77" s="42">
        <f>SUM('Rate Base'!R46:R51)</f>
        <v>1049214.8000838042</v>
      </c>
      <c r="X77" s="15">
        <v>2577769497.5271487</v>
      </c>
      <c r="Y77" s="95">
        <f t="shared" si="3"/>
        <v>0</v>
      </c>
    </row>
    <row r="78" spans="2:25" x14ac:dyDescent="0.25">
      <c r="B78" s="6" t="s">
        <v>157</v>
      </c>
      <c r="C78" s="6" t="s">
        <v>156</v>
      </c>
      <c r="D78" s="6">
        <f t="shared" si="4"/>
        <v>72</v>
      </c>
      <c r="E78" s="14">
        <f>SUM(F78:Q78)</f>
        <v>873670533.75404727</v>
      </c>
      <c r="F78" s="42">
        <f>Expenses!G21+Expenses!G30+Expenses!G36+Expenses!G41+Expenses!G56</f>
        <v>459544575.07772452</v>
      </c>
      <c r="G78" s="42">
        <f>Expenses!H21+Expenses!H30+Expenses!H36+Expenses!H41+Expenses!H56</f>
        <v>115462512.99663042</v>
      </c>
      <c r="H78" s="42">
        <f>Expenses!I21+Expenses!I30+Expenses!I36+Expenses!I41+Expenses!I56</f>
        <v>127870651.28239562</v>
      </c>
      <c r="I78" s="42">
        <f>Expenses!J21+Expenses!J30+Expenses!J36+Expenses!J41+Expenses!J56</f>
        <v>80885399.278109416</v>
      </c>
      <c r="J78" s="42">
        <f>Expenses!K21+Expenses!K30+Expenses!K36+Expenses!K41+Expenses!K56</f>
        <v>56352059.390214331</v>
      </c>
      <c r="K78" s="42">
        <f>Expenses!L21+Expenses!L30+Expenses!L36+Expenses!L41+Expenses!L56</f>
        <v>162106.70873564231</v>
      </c>
      <c r="L78" s="42">
        <f>Expenses!M21+Expenses!M30+Expenses!M36+Expenses!M41+Expenses!M56</f>
        <v>4469285.951935132</v>
      </c>
      <c r="M78" s="42">
        <f>Expenses!N21+Expenses!N30+Expenses!N36+Expenses!N41+Expenses!N56</f>
        <v>269358.43960718601</v>
      </c>
      <c r="N78" s="42">
        <f>Expenses!O21+Expenses!O30+Expenses!O36+Expenses!O41+Expenses!O56</f>
        <v>23919167.722176243</v>
      </c>
      <c r="O78" s="42">
        <f>Expenses!P21+Expenses!P30+Expenses!P36+Expenses!P41+Expenses!P56</f>
        <v>1566204.0254382945</v>
      </c>
      <c r="P78" s="42">
        <f>Expenses!Q21+Expenses!Q30+Expenses!Q36+Expenses!Q41+Expenses!Q56</f>
        <v>2872279.313636391</v>
      </c>
      <c r="Q78" s="42">
        <f>Expenses!R21+Expenses!R30+Expenses!R36+Expenses!R41+Expenses!R56</f>
        <v>296933.56744421</v>
      </c>
      <c r="X78" s="14">
        <v>873670533.75404704</v>
      </c>
      <c r="Y78" s="95">
        <f t="shared" si="3"/>
        <v>0</v>
      </c>
    </row>
    <row r="79" spans="2:25" x14ac:dyDescent="0.25">
      <c r="B79" s="12" t="s">
        <v>159</v>
      </c>
      <c r="C79" s="6" t="s">
        <v>158</v>
      </c>
      <c r="D79" s="6">
        <f t="shared" si="4"/>
        <v>73</v>
      </c>
      <c r="E79" s="14">
        <f t="shared" si="2"/>
        <v>4097835000.000001</v>
      </c>
      <c r="F79" s="42">
        <f>'Rate Base'!G21</f>
        <v>2159957811.0587072</v>
      </c>
      <c r="G79" s="42">
        <f>'Rate Base'!H21</f>
        <v>542701571.07533443</v>
      </c>
      <c r="H79" s="42">
        <f>'Rate Base'!I21</f>
        <v>601024069.35423625</v>
      </c>
      <c r="I79" s="42">
        <f>'Rate Base'!J21</f>
        <v>380185531.29778582</v>
      </c>
      <c r="J79" s="42">
        <f>'Rate Base'!K21</f>
        <v>264871320.96149266</v>
      </c>
      <c r="K79" s="42">
        <f>'Rate Base'!L21</f>
        <v>761987.88438376086</v>
      </c>
      <c r="L79" s="42">
        <f>'Rate Base'!M21</f>
        <v>21008037.492196832</v>
      </c>
      <c r="M79" s="42">
        <f>'Rate Base'!N21</f>
        <v>0</v>
      </c>
      <c r="N79" s="42">
        <f>'Rate Base'!O21</f>
        <v>112428300.07360765</v>
      </c>
      <c r="O79" s="42">
        <f>'Rate Base'!P21</f>
        <v>0</v>
      </c>
      <c r="P79" s="42">
        <f>'Rate Base'!Q21</f>
        <v>13500718.411482126</v>
      </c>
      <c r="Q79" s="42">
        <f>'Rate Base'!R21</f>
        <v>1395652.390774329</v>
      </c>
      <c r="X79" s="15">
        <v>4097835000</v>
      </c>
      <c r="Y79" s="95">
        <f t="shared" si="3"/>
        <v>0</v>
      </c>
    </row>
    <row r="80" spans="2:25" x14ac:dyDescent="0.25">
      <c r="B80" s="6" t="s">
        <v>161</v>
      </c>
      <c r="C80" s="6" t="s">
        <v>160</v>
      </c>
      <c r="D80" s="6">
        <f t="shared" si="4"/>
        <v>74</v>
      </c>
      <c r="E80" s="14">
        <f t="shared" si="2"/>
        <v>10321926586.777802</v>
      </c>
      <c r="F80" s="42">
        <f>'Rate Base'!G21+'Rate Base'!G36+'Rate Base'!G60+'Rate Base'!G74</f>
        <v>5986002247.387682</v>
      </c>
      <c r="G80" s="42">
        <f>'Rate Base'!H21+'Rate Base'!H36+'Rate Base'!H60+'Rate Base'!H74</f>
        <v>1288279848.7832646</v>
      </c>
      <c r="H80" s="42">
        <f>'Rate Base'!I21+'Rate Base'!I36+'Rate Base'!I60+'Rate Base'!I74</f>
        <v>1261677170.3923917</v>
      </c>
      <c r="I80" s="42">
        <f>'Rate Base'!J21+'Rate Base'!J36+'Rate Base'!J60+'Rate Base'!J74</f>
        <v>714695238.5050416</v>
      </c>
      <c r="J80" s="42">
        <f>'Rate Base'!K21+'Rate Base'!K36+'Rate Base'!K60+'Rate Base'!K74</f>
        <v>529858408.91077805</v>
      </c>
      <c r="K80" s="42">
        <f>'Rate Base'!L21+'Rate Base'!L36+'Rate Base'!L60+'Rate Base'!L74</f>
        <v>2814833.9612611919</v>
      </c>
      <c r="L80" s="42">
        <f>'Rate Base'!M21+'Rate Base'!M36+'Rate Base'!M60+'Rate Base'!M74</f>
        <v>67459564.822186098</v>
      </c>
      <c r="M80" s="42">
        <f>'Rate Base'!N21+'Rate Base'!N36+'Rate Base'!N60+'Rate Base'!N74</f>
        <v>69867324.150935978</v>
      </c>
      <c r="N80" s="42">
        <f>'Rate Base'!O21+'Rate Base'!O36+'Rate Base'!O60+'Rate Base'!O74</f>
        <v>180078789.37575734</v>
      </c>
      <c r="O80" s="42">
        <f>'Rate Base'!P21+'Rate Base'!P36+'Rate Base'!P60+'Rate Base'!P74</f>
        <v>112729527.05260006</v>
      </c>
      <c r="P80" s="42">
        <f>'Rate Base'!Q21+'Rate Base'!Q36+'Rate Base'!Q60+'Rate Base'!Q74</f>
        <v>105155677.65089542</v>
      </c>
      <c r="Q80" s="42">
        <f>'Rate Base'!R21+'Rate Base'!R36+'Rate Base'!R60+'Rate Base'!R74</f>
        <v>3307955.7850067569</v>
      </c>
      <c r="X80" s="14">
        <v>10321926586.777798</v>
      </c>
      <c r="Y80" s="95">
        <f t="shared" si="3"/>
        <v>0</v>
      </c>
    </row>
    <row r="81" spans="2:25" x14ac:dyDescent="0.25">
      <c r="B81" s="12" t="s">
        <v>163</v>
      </c>
      <c r="C81" s="6" t="s">
        <v>162</v>
      </c>
      <c r="D81" s="6">
        <f t="shared" si="4"/>
        <v>75</v>
      </c>
      <c r="E81" s="14">
        <f t="shared" si="2"/>
        <v>9781848730.4139996</v>
      </c>
      <c r="F81" s="42">
        <f>'Rate Base'!G21+'Rate Base'!G36+'Rate Base'!G60</f>
        <v>5657200100.1733093</v>
      </c>
      <c r="G81" s="42">
        <f>'Rate Base'!H21+'Rate Base'!H36+'Rate Base'!H60</f>
        <v>1222926919.0736666</v>
      </c>
      <c r="H81" s="42">
        <f>'Rate Base'!I21+'Rate Base'!I36+'Rate Base'!I60</f>
        <v>1202357199.6154087</v>
      </c>
      <c r="I81" s="42">
        <f>'Rate Base'!J21+'Rate Base'!J36+'Rate Base'!J60</f>
        <v>680952388.44647861</v>
      </c>
      <c r="J81" s="42">
        <f>'Rate Base'!K21+'Rate Base'!K36+'Rate Base'!K60</f>
        <v>504651565.8915332</v>
      </c>
      <c r="K81" s="42">
        <f>'Rate Base'!L21+'Rate Base'!L36+'Rate Base'!L60</f>
        <v>2682603.5237119673</v>
      </c>
      <c r="L81" s="42">
        <f>'Rate Base'!M21+'Rate Base'!M36+'Rate Base'!M60</f>
        <v>64280898.421921596</v>
      </c>
      <c r="M81" s="42">
        <f>'Rate Base'!N21+'Rate Base'!N36+'Rate Base'!N60</f>
        <v>66576908.959835768</v>
      </c>
      <c r="N81" s="42">
        <f>'Rate Base'!O21+'Rate Base'!O36+'Rate Base'!O60</f>
        <v>171631822.65864706</v>
      </c>
      <c r="O81" s="42">
        <f>'Rate Base'!P21+'Rate Base'!P36+'Rate Base'!P60</f>
        <v>107687266.89865504</v>
      </c>
      <c r="P81" s="42">
        <f>'Rate Base'!Q21+'Rate Base'!Q36+'Rate Base'!Q60</f>
        <v>97747751.25299561</v>
      </c>
      <c r="Q81" s="42">
        <f>'Rate Base'!R21+'Rate Base'!R36+'Rate Base'!R60</f>
        <v>3153305.4978376082</v>
      </c>
      <c r="X81" s="15">
        <v>9781848730.4139977</v>
      </c>
      <c r="Y81" s="95">
        <f t="shared" si="3"/>
        <v>0</v>
      </c>
    </row>
    <row r="82" spans="2:25" x14ac:dyDescent="0.25">
      <c r="B82" s="6" t="s">
        <v>165</v>
      </c>
      <c r="C82" s="6" t="s">
        <v>164</v>
      </c>
      <c r="D82" s="6">
        <f t="shared" si="4"/>
        <v>76</v>
      </c>
      <c r="E82" s="14">
        <f t="shared" si="2"/>
        <v>5428588079.6691399</v>
      </c>
      <c r="F82" s="42">
        <f>'Rate Base'!G162</f>
        <v>3132494086.5214767</v>
      </c>
      <c r="G82" s="42">
        <f>'Rate Base'!H162</f>
        <v>651816597.56747329</v>
      </c>
      <c r="H82" s="42">
        <f>'Rate Base'!I162</f>
        <v>674855961.99169266</v>
      </c>
      <c r="I82" s="42">
        <f>'Rate Base'!J162</f>
        <v>382703985.38603902</v>
      </c>
      <c r="J82" s="42">
        <f>'Rate Base'!K162</f>
        <v>287888864.88398844</v>
      </c>
      <c r="K82" s="42">
        <f>'Rate Base'!L162</f>
        <v>1536160.0262700242</v>
      </c>
      <c r="L82" s="42">
        <f>'Rate Base'!M162</f>
        <v>37189854.253416851</v>
      </c>
      <c r="M82" s="42">
        <f>'Rate Base'!N162</f>
        <v>38170413.940989554</v>
      </c>
      <c r="N82" s="42">
        <f>'Rate Base'!O162</f>
        <v>95596765.27156961</v>
      </c>
      <c r="O82" s="42">
        <f>'Rate Base'!P162</f>
        <v>66882387.323842242</v>
      </c>
      <c r="P82" s="42">
        <f>'Rate Base'!Q162</f>
        <v>57656670.98856774</v>
      </c>
      <c r="Q82" s="42">
        <f>'Rate Base'!R162</f>
        <v>1796331.5138146919</v>
      </c>
      <c r="X82" s="14">
        <v>5428588079.6691408</v>
      </c>
      <c r="Y82" s="95">
        <f t="shared" si="3"/>
        <v>0</v>
      </c>
    </row>
    <row r="83" spans="2:25" x14ac:dyDescent="0.25">
      <c r="B83" s="12" t="s">
        <v>167</v>
      </c>
      <c r="C83" s="6" t="s">
        <v>166</v>
      </c>
      <c r="D83" s="6">
        <f t="shared" si="4"/>
        <v>77</v>
      </c>
      <c r="E83" s="14">
        <f t="shared" ca="1" si="2"/>
        <v>2053872812.8406465</v>
      </c>
      <c r="F83" s="42">
        <f ca="1">Expenses!G122+Expenses!G174+('Rate Base'!G162*0.0762)</f>
        <v>1173432145.3657343</v>
      </c>
      <c r="G83" s="42">
        <f ca="1">Expenses!H122+Expenses!H174+('Rate Base'!H162*0.0762)</f>
        <v>259335211.33178383</v>
      </c>
      <c r="H83" s="42">
        <f ca="1">Expenses!I122+Expenses!I174+('Rate Base'!I162*0.0762)</f>
        <v>260790815.84572893</v>
      </c>
      <c r="I83" s="42">
        <f ca="1">Expenses!J122+Expenses!J174+('Rate Base'!J162*0.0762)</f>
        <v>155100799.42532715</v>
      </c>
      <c r="J83" s="42">
        <f ca="1">Expenses!K122+Expenses!K174+('Rate Base'!K162*0.0762)</f>
        <v>113711251.26925927</v>
      </c>
      <c r="K83" s="42">
        <f ca="1">Expenses!L122+Expenses!L174+('Rate Base'!L162*0.0762)</f>
        <v>496197.61847011116</v>
      </c>
      <c r="L83" s="42">
        <f ca="1">Expenses!M122+Expenses!M174+('Rate Base'!M162*0.0762)</f>
        <v>12356851.006856868</v>
      </c>
      <c r="M83" s="42">
        <f ca="1">Expenses!N122+Expenses!N174+('Rate Base'!N162*0.0762)</f>
        <v>6400389.7723143175</v>
      </c>
      <c r="N83" s="42">
        <f ca="1">Expenses!O122+Expenses!O174+('Rate Base'!O162*0.0762)</f>
        <v>41871158.919482231</v>
      </c>
      <c r="O83" s="42">
        <f ca="1">Expenses!P122+Expenses!P174+('Rate Base'!P162*0.0762)</f>
        <v>12122201.780992411</v>
      </c>
      <c r="P83" s="42">
        <f ca="1">Expenses!Q122+Expenses!Q174+('Rate Base'!Q162*0.0762)</f>
        <v>17591046.292579871</v>
      </c>
      <c r="Q83" s="42">
        <f ca="1">Expenses!R122+Expenses!R174+('Rate Base'!R162*0.0762)</f>
        <v>664744.21211720037</v>
      </c>
      <c r="X83" s="15">
        <v>2053872812.8406465</v>
      </c>
      <c r="Y83" s="95">
        <f t="shared" ca="1" si="3"/>
        <v>0</v>
      </c>
    </row>
    <row r="84" spans="2:25" x14ac:dyDescent="0.25">
      <c r="B84" s="6" t="s">
        <v>169</v>
      </c>
      <c r="C84" s="6" t="s">
        <v>168</v>
      </c>
      <c r="D84" s="6">
        <f t="shared" si="4"/>
        <v>78</v>
      </c>
      <c r="E84" s="14">
        <f t="shared" si="2"/>
        <v>108304747.09407412</v>
      </c>
      <c r="F84" s="42">
        <f>Labor!G41</f>
        <v>66102410.747065648</v>
      </c>
      <c r="G84" s="42">
        <f>Labor!H41</f>
        <v>13081829.421713715</v>
      </c>
      <c r="H84" s="42">
        <f>Labor!I41</f>
        <v>11821090.504662599</v>
      </c>
      <c r="I84" s="42">
        <f>Labor!J41</f>
        <v>6727087.258005783</v>
      </c>
      <c r="J84" s="42">
        <f>Labor!K41</f>
        <v>5027227.0425021267</v>
      </c>
      <c r="K84" s="42">
        <f>Labor!L41</f>
        <v>26332.184529712093</v>
      </c>
      <c r="L84" s="42">
        <f>Labor!M41</f>
        <v>633198.31198448315</v>
      </c>
      <c r="M84" s="42">
        <f>Labor!N41</f>
        <v>656247.1830675971</v>
      </c>
      <c r="N84" s="42">
        <f>Labor!O41</f>
        <v>1683803.1885400328</v>
      </c>
      <c r="O84" s="42">
        <f>Labor!P41</f>
        <v>1008347.9599612437</v>
      </c>
      <c r="P84" s="42">
        <f>Labor!Q41</f>
        <v>1506371.4281872711</v>
      </c>
      <c r="Q84" s="42">
        <f>Labor!R41</f>
        <v>30801.863853935603</v>
      </c>
      <c r="X84" s="14">
        <v>108304747.09407416</v>
      </c>
      <c r="Y84" s="95">
        <f t="shared" si="3"/>
        <v>0</v>
      </c>
    </row>
    <row r="85" spans="2:25" x14ac:dyDescent="0.25">
      <c r="B85" s="12" t="s">
        <v>171</v>
      </c>
      <c r="C85" s="6" t="s">
        <v>170</v>
      </c>
      <c r="D85" s="6">
        <f t="shared" si="4"/>
        <v>79</v>
      </c>
      <c r="E85" s="14">
        <f t="shared" si="2"/>
        <v>66206134.044743799</v>
      </c>
      <c r="F85" s="42">
        <f>Labor!G13+Labor!G17+Labor!G21</f>
        <v>38423835.790904693</v>
      </c>
      <c r="G85" s="42">
        <f>Labor!H13+Labor!H17+Labor!H21</f>
        <v>8281042.9382433454</v>
      </c>
      <c r="H85" s="42">
        <f>Labor!I13+Labor!I17+Labor!I21</f>
        <v>8119395.1036384478</v>
      </c>
      <c r="I85" s="42">
        <f>Labor!J13+Labor!J17+Labor!J21</f>
        <v>4585251.2546012271</v>
      </c>
      <c r="J85" s="42">
        <f>Labor!K13+Labor!K17+Labor!K21</f>
        <v>3403710.260849081</v>
      </c>
      <c r="K85" s="42">
        <f>Labor!L13+Labor!L17+Labor!L21</f>
        <v>18307.997732286454</v>
      </c>
      <c r="L85" s="42">
        <f>Labor!M13+Labor!M17+Labor!M21</f>
        <v>437789.00779796485</v>
      </c>
      <c r="M85" s="42">
        <f>Labor!N13+Labor!N17+Labor!N21</f>
        <v>444152.29985802225</v>
      </c>
      <c r="N85" s="42">
        <f>Labor!O13+Labor!O17+Labor!O21</f>
        <v>1150205.9227395798</v>
      </c>
      <c r="O85" s="42">
        <f>Labor!P13+Labor!P17+Labor!P21</f>
        <v>649275.66706970287</v>
      </c>
      <c r="P85" s="42">
        <f>Labor!Q13+Labor!Q17+Labor!Q21</f>
        <v>671814.07147990353</v>
      </c>
      <c r="Q85" s="42">
        <f>Labor!R13+Labor!R17+Labor!R21</f>
        <v>21353.729829546835</v>
      </c>
      <c r="X85" s="15">
        <v>66206134.044743814</v>
      </c>
      <c r="Y85" s="95">
        <f t="shared" si="3"/>
        <v>0</v>
      </c>
    </row>
    <row r="86" spans="2:25" x14ac:dyDescent="0.25">
      <c r="B86" s="6" t="s">
        <v>173</v>
      </c>
      <c r="C86" s="6" t="s">
        <v>172</v>
      </c>
      <c r="D86" s="6">
        <f t="shared" si="4"/>
        <v>80</v>
      </c>
      <c r="E86" s="14">
        <f t="shared" si="2"/>
        <v>5684013730.4139996</v>
      </c>
      <c r="F86" s="42">
        <f>'Rate Base'!G36+'Rate Base'!G60</f>
        <v>3497242289.1146021</v>
      </c>
      <c r="G86" s="42">
        <f>'Rate Base'!H36+'Rate Base'!H60</f>
        <v>680225347.99833226</v>
      </c>
      <c r="H86" s="42">
        <f>'Rate Base'!I36+'Rate Base'!I60</f>
        <v>601333130.26117229</v>
      </c>
      <c r="I86" s="42">
        <f>'Rate Base'!J36+'Rate Base'!J60</f>
        <v>300766857.14869273</v>
      </c>
      <c r="J86" s="42">
        <f>'Rate Base'!K36+'Rate Base'!K60</f>
        <v>239780244.93004054</v>
      </c>
      <c r="K86" s="42">
        <f>'Rate Base'!L36+'Rate Base'!L60</f>
        <v>1920615.6393282067</v>
      </c>
      <c r="L86" s="42">
        <f>'Rate Base'!M36+'Rate Base'!M60</f>
        <v>43272860.92972476</v>
      </c>
      <c r="M86" s="42">
        <f>'Rate Base'!N36+'Rate Base'!N60</f>
        <v>66576908.959835768</v>
      </c>
      <c r="N86" s="42">
        <f>'Rate Base'!O36+'Rate Base'!O60</f>
        <v>59203522.5850394</v>
      </c>
      <c r="O86" s="42">
        <f>'Rate Base'!P36+'Rate Base'!P60</f>
        <v>107687266.89865504</v>
      </c>
      <c r="P86" s="42">
        <f>'Rate Base'!Q36+'Rate Base'!Q60</f>
        <v>84247032.841513485</v>
      </c>
      <c r="Q86" s="42">
        <f>'Rate Base'!R36+'Rate Base'!R60</f>
        <v>1757653.1070632793</v>
      </c>
      <c r="X86" s="14">
        <v>5684013730.4139996</v>
      </c>
      <c r="Y86" s="95">
        <f t="shared" si="3"/>
        <v>0</v>
      </c>
    </row>
    <row r="87" spans="2:25" x14ac:dyDescent="0.25">
      <c r="B87" s="12" t="s">
        <v>175</v>
      </c>
      <c r="C87" s="6" t="s">
        <v>174</v>
      </c>
      <c r="D87" s="6">
        <f t="shared" si="4"/>
        <v>81</v>
      </c>
      <c r="E87" s="15">
        <v>1726709963.6748061</v>
      </c>
      <c r="F87" s="42">
        <f ca="1">Expenses!G122+Expenses!G174+Expenses!G182</f>
        <v>984399334.03473711</v>
      </c>
      <c r="G87" s="42">
        <f ca="1">Expenses!H122+Expenses!H174+Expenses!H182</f>
        <v>220552993.60657173</v>
      </c>
      <c r="H87" s="42">
        <f ca="1">Expenses!I122+Expenses!I174+Expenses!I182</f>
        <v>220235058.92659351</v>
      </c>
      <c r="I87" s="42">
        <f ca="1">Expenses!J122+Expenses!J174+Expenses!J182</f>
        <v>132387676.5421408</v>
      </c>
      <c r="J87" s="42">
        <f ca="1">Expenses!K122+Expenses!K174+Expenses!K182</f>
        <v>96505851.164409205</v>
      </c>
      <c r="K87" s="42">
        <f ca="1">Expenses!L122+Expenses!L174+Expenses!L182</f>
        <v>400025.40424044069</v>
      </c>
      <c r="L87" s="42">
        <f ca="1">Expenses!M122+Expenses!M174+Expenses!M182</f>
        <v>10041946.067244284</v>
      </c>
      <c r="M87" s="42">
        <f ca="1">Expenses!N122+Expenses!N174+Expenses!N182</f>
        <v>3780417.4621793563</v>
      </c>
      <c r="N87" s="42">
        <f ca="1">Expenses!O122+Expenses!O174+Expenses!O182</f>
        <v>36320977.621721566</v>
      </c>
      <c r="O87" s="42">
        <f ca="1">Expenses!P122+Expenses!P174+Expenses!P182</f>
        <v>7556641.9766564798</v>
      </c>
      <c r="P87" s="42">
        <f ca="1">Expenses!Q122+Expenses!Q174+Expenses!Q182</f>
        <v>13973457.832778279</v>
      </c>
      <c r="Q87" s="42">
        <f ca="1">Expenses!R122+Expenses!R174+Expenses!R182</f>
        <v>555583.03553374019</v>
      </c>
      <c r="X87" s="15">
        <v>1726709963.6748061</v>
      </c>
      <c r="Y87" s="95">
        <f t="shared" ca="1" si="3"/>
        <v>0</v>
      </c>
    </row>
    <row r="88" spans="2:25" x14ac:dyDescent="0.25">
      <c r="B88" s="6" t="s">
        <v>177</v>
      </c>
      <c r="C88" s="6" t="s">
        <v>176</v>
      </c>
      <c r="D88" s="6">
        <f t="shared" si="4"/>
        <v>82</v>
      </c>
      <c r="E88" s="14">
        <f t="shared" si="2"/>
        <v>1594737126.5200977</v>
      </c>
      <c r="F88" s="42">
        <f>'Rate Base'!G36</f>
        <v>778231377.26198113</v>
      </c>
      <c r="G88" s="42">
        <f>'Rate Base'!H36</f>
        <v>195492947.63463855</v>
      </c>
      <c r="H88" s="42">
        <f>'Rate Base'!I36</f>
        <v>216484588.40663725</v>
      </c>
      <c r="I88" s="42">
        <f>'Rate Base'!J36</f>
        <v>136886389.47730705</v>
      </c>
      <c r="J88" s="42">
        <f>'Rate Base'!K36</f>
        <v>95369893.90565367</v>
      </c>
      <c r="K88" s="42">
        <f>'Rate Base'!L36</f>
        <v>273833.18978901365</v>
      </c>
      <c r="L88" s="42">
        <f>'Rate Base'!M36</f>
        <v>7549416.999122831</v>
      </c>
      <c r="M88" s="42">
        <f>'Rate Base'!N36</f>
        <v>17408508.891818799</v>
      </c>
      <c r="N88" s="42">
        <f>'Rate Base'!O36</f>
        <v>40465287.05561018</v>
      </c>
      <c r="O88" s="42">
        <f>'Rate Base'!P36</f>
        <v>101213125.17646819</v>
      </c>
      <c r="P88" s="42">
        <f>'Rate Base'!Q36</f>
        <v>4858921.039097487</v>
      </c>
      <c r="Q88" s="42">
        <f>'Rate Base'!R36</f>
        <v>502837.48197332671</v>
      </c>
      <c r="X88" s="14">
        <v>1594737126.5200973</v>
      </c>
      <c r="Y88" s="95">
        <f t="shared" si="3"/>
        <v>0</v>
      </c>
    </row>
    <row r="89" spans="2:25" x14ac:dyDescent="0.25">
      <c r="B89" s="12" t="s">
        <v>179</v>
      </c>
      <c r="C89" s="6" t="s">
        <v>178</v>
      </c>
      <c r="D89" s="6">
        <f t="shared" si="4"/>
        <v>83</v>
      </c>
      <c r="E89" s="14">
        <f t="shared" si="2"/>
        <v>959239340.65362871</v>
      </c>
      <c r="F89" s="42">
        <f>Expenses!G21+Expenses!G30+Expenses!G36+Expenses!G41+Expenses!G56+Expenses!G69+Expenses!G114</f>
        <v>514838685.05026114</v>
      </c>
      <c r="G89" s="42">
        <f>Expenses!H21+Expenses!H30+Expenses!H36+Expenses!H41+Expenses!H56+Expenses!H69+Expenses!H114</f>
        <v>126435017.60332699</v>
      </c>
      <c r="H89" s="42">
        <f>Expenses!I21+Expenses!I30+Expenses!I36+Expenses!I41+Expenses!I56+Expenses!I69+Expenses!I114</f>
        <v>135979152.50052676</v>
      </c>
      <c r="I89" s="42">
        <f>Expenses!J21+Expenses!J30+Expenses!J36+Expenses!J41+Expenses!J56+Expenses!J69+Expenses!J114</f>
        <v>84110689.999343291</v>
      </c>
      <c r="J89" s="42">
        <f>Expenses!K21+Expenses!K30+Expenses!K36+Expenses!K41+Expenses!K56+Expenses!K69+Expenses!K114</f>
        <v>59922552.222704783</v>
      </c>
      <c r="K89" s="42">
        <f>Expenses!L21+Expenses!L30+Expenses!L36+Expenses!L41+Expenses!L56+Expenses!L69+Expenses!L114</f>
        <v>213973.39262014523</v>
      </c>
      <c r="L89" s="42">
        <f>Expenses!M21+Expenses!M30+Expenses!M36+Expenses!M41+Expenses!M56+Expenses!M69+Expenses!M114</f>
        <v>5452785.2800770057</v>
      </c>
      <c r="M89" s="42">
        <f>Expenses!N21+Expenses!N30+Expenses!N36+Expenses!N41+Expenses!N56+Expenses!N69+Expenses!N114</f>
        <v>820650.99731837434</v>
      </c>
      <c r="N89" s="42">
        <f>Expenses!O21+Expenses!O30+Expenses!O36+Expenses!O41+Expenses!O56+Expenses!O69+Expenses!O114</f>
        <v>24176114.811686154</v>
      </c>
      <c r="O89" s="42">
        <f>Expenses!P21+Expenses!P30+Expenses!P36+Expenses!P41+Expenses!P56+Expenses!P69+Expenses!P114</f>
        <v>1687145.7492879848</v>
      </c>
      <c r="P89" s="42">
        <f>Expenses!Q21+Expenses!Q30+Expenses!Q36+Expenses!Q41+Expenses!Q56+Expenses!Q69+Expenses!Q114</f>
        <v>5268204.6994481366</v>
      </c>
      <c r="Q89" s="42">
        <f>Expenses!R21+Expenses!R30+Expenses!R36+Expenses!R41+Expenses!R56+Expenses!R69+Expenses!R114</f>
        <v>334368.3470279866</v>
      </c>
      <c r="X89" s="15">
        <v>959239340.65362847</v>
      </c>
      <c r="Y89" s="95">
        <f t="shared" si="3"/>
        <v>0</v>
      </c>
    </row>
    <row r="90" spans="2:25" x14ac:dyDescent="0.25">
      <c r="B90" s="6"/>
      <c r="C90" s="6" t="s">
        <v>14</v>
      </c>
      <c r="E90" s="14">
        <v>0</v>
      </c>
    </row>
    <row r="91" spans="2:25" x14ac:dyDescent="0.25">
      <c r="B91" s="12"/>
      <c r="C91" s="6" t="s">
        <v>14</v>
      </c>
      <c r="E91" s="15">
        <v>0</v>
      </c>
    </row>
    <row r="92" spans="2:25" x14ac:dyDescent="0.25">
      <c r="B92" s="6"/>
      <c r="C92" s="6" t="s">
        <v>14</v>
      </c>
      <c r="E92" s="14">
        <v>0</v>
      </c>
    </row>
    <row r="93" spans="2:25" x14ac:dyDescent="0.25">
      <c r="B93" s="12"/>
      <c r="C93" s="6" t="s">
        <v>14</v>
      </c>
      <c r="E93" s="15">
        <v>0</v>
      </c>
    </row>
    <row r="94" spans="2:25" x14ac:dyDescent="0.25">
      <c r="B94" s="6"/>
      <c r="C94" s="6" t="s">
        <v>14</v>
      </c>
      <c r="E94" s="14">
        <v>0</v>
      </c>
    </row>
    <row r="95" spans="2:25" x14ac:dyDescent="0.25">
      <c r="B95" s="12"/>
      <c r="C95" s="6" t="s">
        <v>14</v>
      </c>
      <c r="E95" s="15">
        <v>0</v>
      </c>
    </row>
  </sheetData>
  <mergeCells count="1">
    <mergeCell ref="S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D6F-4882-4729-849B-F934D5BEC7E0}">
  <dimension ref="B3:Q113"/>
  <sheetViews>
    <sheetView topLeftCell="A70" workbookViewId="0">
      <selection activeCell="F87" sqref="F87:Q87"/>
    </sheetView>
  </sheetViews>
  <sheetFormatPr defaultRowHeight="15" x14ac:dyDescent="0.25"/>
  <cols>
    <col min="2" max="2" width="91.5703125" bestFit="1" customWidth="1"/>
    <col min="3" max="3" width="19.85546875" bestFit="1" customWidth="1"/>
    <col min="5" max="6" width="10.28515625" bestFit="1" customWidth="1"/>
    <col min="8" max="8" width="9.28515625" bestFit="1" customWidth="1"/>
    <col min="10" max="10" width="9.28515625" bestFit="1" customWidth="1"/>
    <col min="11" max="12" width="9.28515625" customWidth="1"/>
    <col min="13" max="13" width="10.28515625" bestFit="1" customWidth="1"/>
    <col min="15" max="15" width="13.5703125" customWidth="1"/>
    <col min="16" max="17" width="10.28515625" bestFit="1" customWidth="1"/>
  </cols>
  <sheetData>
    <row r="3" spans="2:17" ht="39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38" t="s">
        <v>579</v>
      </c>
      <c r="K3" s="138" t="s">
        <v>580</v>
      </c>
      <c r="L3" s="138" t="s">
        <v>581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2:17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16" t="str">
        <f>'Alloc Amt'!B7</f>
        <v>Ave. No. Cust.</v>
      </c>
      <c r="C7" s="16" t="str">
        <f>'Alloc Amt'!C7</f>
        <v>CUST_1</v>
      </c>
      <c r="D7" s="16">
        <f>'Alloc Amt'!D7</f>
        <v>1</v>
      </c>
      <c r="E7" s="17">
        <f>SUM(F7:Q7)</f>
        <v>1</v>
      </c>
      <c r="F7" s="17">
        <f>'Alloc Amt'!F7/'Alloc Amt'!$E7</f>
        <v>0.87891799466163856</v>
      </c>
      <c r="G7" s="17">
        <f>'Alloc Amt'!G7/'Alloc Amt'!$E7</f>
        <v>0.10575661141894484</v>
      </c>
      <c r="H7" s="17">
        <f>'Alloc Amt'!H7/'Alloc Amt'!$E7</f>
        <v>7.1004208590952616E-3</v>
      </c>
      <c r="I7" s="17">
        <f>'Alloc Amt'!I7/'Alloc Amt'!$E7</f>
        <v>7.3230700188121141E-4</v>
      </c>
      <c r="J7" s="17">
        <f>'Alloc Amt'!J7/'Alloc Amt'!$E7</f>
        <v>4.2355523743010687E-4</v>
      </c>
      <c r="K7" s="17">
        <f>'Alloc Amt'!K7/'Alloc Amt'!$E7</f>
        <v>1.7394465602879132E-6</v>
      </c>
      <c r="L7" s="17">
        <f>'Alloc Amt'!L7/'Alloc Amt'!$E7</f>
        <v>1.3480710842231328E-4</v>
      </c>
      <c r="M7" s="17">
        <f>'Alloc Amt'!M7/'Alloc Amt'!$E7</f>
        <v>8.0884265053387963E-5</v>
      </c>
      <c r="N7" s="17">
        <f>'Alloc Amt'!N7/'Alloc Amt'!$E7</f>
        <v>2.1743082003598914E-5</v>
      </c>
      <c r="O7" s="17">
        <f>'Alloc Amt'!O7/'Alloc Amt'!$E7</f>
        <v>1.3915572482303306E-5</v>
      </c>
      <c r="P7" s="17">
        <f>'Alloc Amt'!P7/'Alloc Amt'!$E7</f>
        <v>6.809063560247036E-3</v>
      </c>
      <c r="Q7" s="17">
        <f>'Alloc Amt'!Q7/'Alloc Amt'!$E7</f>
        <v>6.9577862411516528E-6</v>
      </c>
    </row>
    <row r="8" spans="2:17" x14ac:dyDescent="0.25">
      <c r="B8" s="16" t="str">
        <f>'Alloc Amt'!B8</f>
        <v>Ave. No. Cust Incl. RES &amp; SEC Only, No Sch 40</v>
      </c>
      <c r="C8" s="16" t="str">
        <f>'Alloc Amt'!C8</f>
        <v>CUST_2</v>
      </c>
      <c r="D8" s="16">
        <f>'Alloc Amt'!D8</f>
        <v>2</v>
      </c>
      <c r="E8" s="17">
        <f t="shared" ref="E8:E71" si="0">SUM(F8:Q8)</f>
        <v>1</v>
      </c>
      <c r="F8" s="17">
        <f>'Alloc Amt'!F8/'Alloc Amt'!$E8</f>
        <v>0.88555314868171076</v>
      </c>
      <c r="G8" s="17">
        <f>'Alloc Amt'!G8/'Alloc Amt'!$E8</f>
        <v>0.10655499239381129</v>
      </c>
      <c r="H8" s="17">
        <f>'Alloc Amt'!H8/'Alloc Amt'!$E8</f>
        <v>7.1540235686695132E-3</v>
      </c>
      <c r="I8" s="17">
        <f>'Alloc Amt'!I8/'Alloc Amt'!$E8</f>
        <v>7.3783535580839419E-4</v>
      </c>
      <c r="J8" s="17">
        <f>'Alloc Amt'!J8/'Alloc Amt'!$E8</f>
        <v>0</v>
      </c>
      <c r="K8" s="17">
        <f>'Alloc Amt'!K8/'Alloc Amt'!$E8</f>
        <v>0</v>
      </c>
      <c r="L8" s="17">
        <f>'Alloc Amt'!L8/'Alloc Amt'!$E8</f>
        <v>0</v>
      </c>
      <c r="M8" s="17">
        <f>'Alloc Amt'!M8/'Alloc Amt'!$E8</f>
        <v>0</v>
      </c>
      <c r="N8" s="17">
        <f>'Alloc Amt'!N8/'Alloc Amt'!$E8</f>
        <v>0</v>
      </c>
      <c r="O8" s="17">
        <f>'Alloc Amt'!O8/'Alloc Amt'!$E8</f>
        <v>0</v>
      </c>
      <c r="P8" s="17">
        <f>'Alloc Amt'!P8/'Alloc Amt'!$E8</f>
        <v>0</v>
      </c>
      <c r="Q8" s="17">
        <f>'Alloc Amt'!Q8/'Alloc Amt'!$E8</f>
        <v>0</v>
      </c>
    </row>
    <row r="9" spans="2:17" x14ac:dyDescent="0.25">
      <c r="B9" s="16" t="str">
        <f>'Alloc Amt'!B9</f>
        <v>Wtd. Ave. No. Cust. A/C 903 Customer Records Direct Assignment [NEEDS PROFORMA ADJUSTMENT]</v>
      </c>
      <c r="C9" s="16" t="str">
        <f>'Alloc Amt'!C9</f>
        <v>CUST_3</v>
      </c>
      <c r="D9" s="16">
        <f>'Alloc Amt'!D9</f>
        <v>3</v>
      </c>
      <c r="E9" s="17">
        <f t="shared" si="0"/>
        <v>0.99999999999999978</v>
      </c>
      <c r="F9" s="17">
        <f>'Alloc Amt'!F9/'Alloc Amt'!$E9</f>
        <v>0.85415776617976635</v>
      </c>
      <c r="G9" s="17">
        <f>'Alloc Amt'!G9/'Alloc Amt'!$E9</f>
        <v>0.10079256282734517</v>
      </c>
      <c r="H9" s="17">
        <f>'Alloc Amt'!H9/'Alloc Amt'!$E9</f>
        <v>9.1822218457507949E-3</v>
      </c>
      <c r="I9" s="17">
        <f>'Alloc Amt'!I9/'Alloc Amt'!$E9</f>
        <v>9.4889651996162908E-3</v>
      </c>
      <c r="J9" s="17">
        <f>'Alloc Amt'!J9/'Alloc Amt'!$E9</f>
        <v>7.1051849231838892E-3</v>
      </c>
      <c r="K9" s="17">
        <f>'Alloc Amt'!K9/'Alloc Amt'!$E9</f>
        <v>1.1309268713111472E-6</v>
      </c>
      <c r="L9" s="17">
        <f>'Alloc Amt'!L9/'Alloc Amt'!$E9</f>
        <v>5.8190104929613923E-4</v>
      </c>
      <c r="M9" s="17">
        <f>'Alloc Amt'!M9/'Alloc Amt'!$E9</f>
        <v>2.5853474589819054E-3</v>
      </c>
      <c r="N9" s="17">
        <f>'Alloc Amt'!N9/'Alloc Amt'!$E9</f>
        <v>4.1739886374340708E-3</v>
      </c>
      <c r="O9" s="17">
        <f>'Alloc Amt'!O9/'Alloc Amt'!$E9</f>
        <v>7.4567161198464127E-3</v>
      </c>
      <c r="P9" s="17">
        <f>'Alloc Amt'!P9/'Alloc Amt'!$E9</f>
        <v>4.4733610875329587E-3</v>
      </c>
      <c r="Q9" s="17">
        <f>'Alloc Amt'!Q9/'Alloc Amt'!$E9</f>
        <v>8.5374437449295518E-7</v>
      </c>
    </row>
    <row r="10" spans="2:17" x14ac:dyDescent="0.25">
      <c r="B10" s="16" t="str">
        <f>'Alloc Amt'!B10</f>
        <v>Meter Counts. A/C 902</v>
      </c>
      <c r="C10" s="16" t="str">
        <f>'Alloc Amt'!C10</f>
        <v>CUST_4</v>
      </c>
      <c r="D10" s="16">
        <f>'Alloc Amt'!D10</f>
        <v>4</v>
      </c>
      <c r="E10" s="17">
        <f t="shared" si="0"/>
        <v>1</v>
      </c>
      <c r="F10" s="17">
        <f>'Alloc Amt'!F10/'Alloc Amt'!$E10</f>
        <v>0.87912300645490304</v>
      </c>
      <c r="G10" s="17">
        <f>'Alloc Amt'!G10/'Alloc Amt'!$E10</f>
        <v>0.11191483519060683</v>
      </c>
      <c r="H10" s="17">
        <f>'Alloc Amt'!H10/'Alloc Amt'!$E10</f>
        <v>7.4509827331981915E-3</v>
      </c>
      <c r="I10" s="17">
        <f>'Alloc Amt'!I10/'Alloc Amt'!$E10</f>
        <v>7.530293869078635E-4</v>
      </c>
      <c r="J10" s="17">
        <f>'Alloc Amt'!J10/'Alloc Amt'!$E10</f>
        <v>4.5198819372725669E-4</v>
      </c>
      <c r="K10" s="17">
        <f>'Alloc Amt'!K10/'Alloc Amt'!$E10</f>
        <v>1.7056158253858743E-6</v>
      </c>
      <c r="L10" s="17">
        <f>'Alloc Amt'!L10/'Alloc Amt'!$E10</f>
        <v>1.35596458118177E-4</v>
      </c>
      <c r="M10" s="17">
        <f>'Alloc Amt'!M10/'Alloc Amt'!$E10</f>
        <v>8.4427983356600775E-5</v>
      </c>
      <c r="N10" s="17">
        <f>'Alloc Amt'!N10/'Alloc Amt'!$E10</f>
        <v>3.0701084856945739E-5</v>
      </c>
      <c r="O10" s="17">
        <f>'Alloc Amt'!O10/'Alloc Amt'!$E10</f>
        <v>4.690443519811154E-5</v>
      </c>
      <c r="P10" s="17">
        <f>'Alloc Amt'!P10/'Alloc Amt'!$E10</f>
        <v>0</v>
      </c>
      <c r="Q10" s="17">
        <f>'Alloc Amt'!Q10/'Alloc Amt'!$E10</f>
        <v>6.8224633015434971E-6</v>
      </c>
    </row>
    <row r="11" spans="2:17" x14ac:dyDescent="0.25">
      <c r="B11" s="16" t="str">
        <f>'Alloc Amt'!B11</f>
        <v>Direct Assignment Special Contract</v>
      </c>
      <c r="C11" s="16" t="str">
        <f>'Alloc Amt'!C11</f>
        <v>DIR_SC</v>
      </c>
      <c r="D11" s="16">
        <f>'Alloc Amt'!D11</f>
        <v>5</v>
      </c>
      <c r="E11" s="17">
        <f t="shared" si="0"/>
        <v>1</v>
      </c>
      <c r="F11" s="17">
        <f>'Alloc Amt'!F11/'Alloc Amt'!$E11</f>
        <v>0</v>
      </c>
      <c r="G11" s="17">
        <f>'Alloc Amt'!G11/'Alloc Amt'!$E11</f>
        <v>0</v>
      </c>
      <c r="H11" s="17">
        <f>'Alloc Amt'!H11/'Alloc Amt'!$E11</f>
        <v>0</v>
      </c>
      <c r="I11" s="17">
        <f>'Alloc Amt'!I11/'Alloc Amt'!$E11</f>
        <v>0</v>
      </c>
      <c r="J11" s="17">
        <f>'Alloc Amt'!J11/'Alloc Amt'!$E11</f>
        <v>0</v>
      </c>
      <c r="K11" s="17">
        <f>'Alloc Amt'!K11/'Alloc Amt'!$E11</f>
        <v>0</v>
      </c>
      <c r="L11" s="17">
        <f>'Alloc Amt'!L11/'Alloc Amt'!$E11</f>
        <v>0</v>
      </c>
      <c r="M11" s="17">
        <f>'Alloc Amt'!M11/'Alloc Amt'!$E11</f>
        <v>1</v>
      </c>
      <c r="N11" s="17">
        <f>'Alloc Amt'!N11/'Alloc Amt'!$E11</f>
        <v>0</v>
      </c>
      <c r="O11" s="17">
        <f>'Alloc Amt'!O11/'Alloc Amt'!$E11</f>
        <v>0</v>
      </c>
      <c r="P11" s="17">
        <f>'Alloc Amt'!P11/'Alloc Amt'!$E11</f>
        <v>0</v>
      </c>
      <c r="Q11" s="17">
        <f>'Alloc Amt'!Q11/'Alloc Amt'!$E11</f>
        <v>0</v>
      </c>
    </row>
    <row r="12" spans="2:17" x14ac:dyDescent="0.25">
      <c r="B12" s="16" t="str">
        <f>'Alloc Amt'!B12</f>
        <v>Schedule 449 / 459 Retail Revenue</v>
      </c>
      <c r="C12" s="16" t="str">
        <f>'Alloc Amt'!C12</f>
        <v>DIR_449</v>
      </c>
      <c r="D12" s="16">
        <f>'Alloc Amt'!D12</f>
        <v>6</v>
      </c>
      <c r="E12" s="17">
        <f t="shared" si="0"/>
        <v>1</v>
      </c>
      <c r="F12" s="17">
        <f>'Alloc Amt'!F12/'Alloc Amt'!$E12</f>
        <v>0</v>
      </c>
      <c r="G12" s="17">
        <f>'Alloc Amt'!G12/'Alloc Amt'!$E12</f>
        <v>0</v>
      </c>
      <c r="H12" s="17">
        <f>'Alloc Amt'!H12/'Alloc Amt'!$E12</f>
        <v>0</v>
      </c>
      <c r="I12" s="17">
        <f>'Alloc Amt'!I12/'Alloc Amt'!$E12</f>
        <v>0</v>
      </c>
      <c r="J12" s="17">
        <f>'Alloc Amt'!J12/'Alloc Amt'!$E12</f>
        <v>0</v>
      </c>
      <c r="K12" s="17">
        <f>'Alloc Amt'!K12/'Alloc Amt'!$E12</f>
        <v>0</v>
      </c>
      <c r="L12" s="17">
        <f>'Alloc Amt'!L12/'Alloc Amt'!$E12</f>
        <v>0</v>
      </c>
      <c r="M12" s="17">
        <f>'Alloc Amt'!M12/'Alloc Amt'!$E12</f>
        <v>0</v>
      </c>
      <c r="N12" s="17">
        <f>'Alloc Amt'!N12/'Alloc Amt'!$E12</f>
        <v>0</v>
      </c>
      <c r="O12" s="17">
        <f>'Alloc Amt'!O12/'Alloc Amt'!$E12</f>
        <v>1</v>
      </c>
      <c r="P12" s="17">
        <f>'Alloc Amt'!P12/'Alloc Amt'!$E12</f>
        <v>0</v>
      </c>
      <c r="Q12" s="17">
        <f>'Alloc Amt'!Q12/'Alloc Amt'!$E12</f>
        <v>0</v>
      </c>
    </row>
    <row r="13" spans="2:17" x14ac:dyDescent="0.25">
      <c r="B13" s="16" t="str">
        <f>'Alloc Amt'!B13</f>
        <v>Transportation OATT Revenue</v>
      </c>
      <c r="C13" s="16" t="str">
        <f>'Alloc Amt'!C13</f>
        <v>DIR_449_OATT</v>
      </c>
      <c r="D13" s="16">
        <f>'Alloc Amt'!D13</f>
        <v>7</v>
      </c>
      <c r="E13" s="17">
        <f t="shared" si="0"/>
        <v>1</v>
      </c>
      <c r="F13" s="17">
        <f>'Alloc Amt'!F13/'Alloc Amt'!$E13</f>
        <v>0</v>
      </c>
      <c r="G13" s="17">
        <f>'Alloc Amt'!G13/'Alloc Amt'!$E13</f>
        <v>0</v>
      </c>
      <c r="H13" s="17">
        <f>'Alloc Amt'!H13/'Alloc Amt'!$E13</f>
        <v>0</v>
      </c>
      <c r="I13" s="17">
        <f>'Alloc Amt'!I13/'Alloc Amt'!$E13</f>
        <v>0</v>
      </c>
      <c r="J13" s="17">
        <f>'Alloc Amt'!J13/'Alloc Amt'!$E13</f>
        <v>0</v>
      </c>
      <c r="K13" s="17">
        <f>'Alloc Amt'!K13/'Alloc Amt'!$E13</f>
        <v>0</v>
      </c>
      <c r="L13" s="17">
        <f>'Alloc Amt'!L13/'Alloc Amt'!$E13</f>
        <v>0</v>
      </c>
      <c r="M13" s="17">
        <f>'Alloc Amt'!M13/'Alloc Amt'!$E13</f>
        <v>0</v>
      </c>
      <c r="N13" s="17">
        <f>'Alloc Amt'!N13/'Alloc Amt'!$E13</f>
        <v>0</v>
      </c>
      <c r="O13" s="17">
        <f>'Alloc Amt'!O13/'Alloc Amt'!$E13</f>
        <v>1</v>
      </c>
      <c r="P13" s="17">
        <f>'Alloc Amt'!P13/'Alloc Amt'!$E13</f>
        <v>0</v>
      </c>
      <c r="Q13" s="17">
        <f>'Alloc Amt'!Q13/'Alloc Amt'!$E13</f>
        <v>0</v>
      </c>
    </row>
    <row r="14" spans="2:17" x14ac:dyDescent="0.25">
      <c r="B14" s="16" t="str">
        <f>'Alloc Amt'!B14</f>
        <v>Small Firm Resale Allocation Only</v>
      </c>
      <c r="C14" s="16" t="str">
        <f>'Alloc Amt'!C14</f>
        <v>DIR_RESALE_SMALL</v>
      </c>
      <c r="D14" s="16">
        <f>'Alloc Amt'!D14</f>
        <v>8</v>
      </c>
      <c r="E14" s="17">
        <f t="shared" si="0"/>
        <v>1</v>
      </c>
      <c r="F14" s="17">
        <f>'Alloc Amt'!F14/'Alloc Amt'!$E14</f>
        <v>0</v>
      </c>
      <c r="G14" s="17">
        <f>'Alloc Amt'!G14/'Alloc Amt'!$E14</f>
        <v>0</v>
      </c>
      <c r="H14" s="17">
        <f>'Alloc Amt'!H14/'Alloc Amt'!$E14</f>
        <v>0</v>
      </c>
      <c r="I14" s="17">
        <f>'Alloc Amt'!I14/'Alloc Amt'!$E14</f>
        <v>0</v>
      </c>
      <c r="J14" s="17">
        <f>'Alloc Amt'!J14/'Alloc Amt'!$E14</f>
        <v>0</v>
      </c>
      <c r="K14" s="17">
        <f>'Alloc Amt'!K14/'Alloc Amt'!$E14</f>
        <v>0</v>
      </c>
      <c r="L14" s="17">
        <f>'Alloc Amt'!L14/'Alloc Amt'!$E14</f>
        <v>0</v>
      </c>
      <c r="M14" s="17">
        <f>'Alloc Amt'!M14/'Alloc Amt'!$E14</f>
        <v>0</v>
      </c>
      <c r="N14" s="17">
        <f>'Alloc Amt'!N14/'Alloc Amt'!$E14</f>
        <v>0</v>
      </c>
      <c r="O14" s="17">
        <f>'Alloc Amt'!O14/'Alloc Amt'!$E14</f>
        <v>0</v>
      </c>
      <c r="P14" s="17">
        <f>'Alloc Amt'!P14/'Alloc Amt'!$E14</f>
        <v>0</v>
      </c>
      <c r="Q14" s="17">
        <f>'Alloc Amt'!Q14/'Alloc Amt'!$E14</f>
        <v>1</v>
      </c>
    </row>
    <row r="15" spans="2:17" x14ac:dyDescent="0.25">
      <c r="B15" s="16" t="str">
        <f>'Alloc Amt'!B15</f>
        <v>Customer Deposits</v>
      </c>
      <c r="C15" s="16" t="str">
        <f>'Alloc Amt'!C15</f>
        <v>DIR235.00</v>
      </c>
      <c r="D15" s="16">
        <f>'Alloc Amt'!D15</f>
        <v>9</v>
      </c>
      <c r="E15" s="17">
        <f t="shared" si="0"/>
        <v>1</v>
      </c>
      <c r="F15" s="17">
        <f>'Alloc Amt'!F15/'Alloc Amt'!$E15</f>
        <v>0.893896279793293</v>
      </c>
      <c r="G15" s="17">
        <f>'Alloc Amt'!G15/'Alloc Amt'!$E15</f>
        <v>7.2180048419793794E-2</v>
      </c>
      <c r="H15" s="17">
        <f>'Alloc Amt'!H15/'Alloc Amt'!$E15</f>
        <v>2.4703141651805479E-2</v>
      </c>
      <c r="I15" s="17">
        <f>'Alloc Amt'!I15/'Alloc Amt'!$E15</f>
        <v>6.5614628541933694E-3</v>
      </c>
      <c r="J15" s="17">
        <f>'Alloc Amt'!J15/'Alloc Amt'!$E15</f>
        <v>2.228861196584807E-3</v>
      </c>
      <c r="K15" s="17">
        <f>'Alloc Amt'!K15/'Alloc Amt'!$E15</f>
        <v>0</v>
      </c>
      <c r="L15" s="17">
        <f>'Alloc Amt'!L15/'Alloc Amt'!$E15</f>
        <v>0</v>
      </c>
      <c r="M15" s="17">
        <f>'Alloc Amt'!M15/'Alloc Amt'!$E15</f>
        <v>0</v>
      </c>
      <c r="N15" s="17">
        <f>'Alloc Amt'!N15/'Alloc Amt'!$E15</f>
        <v>0</v>
      </c>
      <c r="O15" s="17">
        <f>'Alloc Amt'!O15/'Alloc Amt'!$E15</f>
        <v>0</v>
      </c>
      <c r="P15" s="17">
        <f>'Alloc Amt'!P15/'Alloc Amt'!$E15</f>
        <v>4.3020608432964432E-4</v>
      </c>
      <c r="Q15" s="17">
        <f>'Alloc Amt'!Q15/'Alloc Amt'!$E15</f>
        <v>0</v>
      </c>
    </row>
    <row r="16" spans="2:17" x14ac:dyDescent="0.25">
      <c r="B16" s="16" t="str">
        <f>'Alloc Amt'!B16</f>
        <v>Customer Advances</v>
      </c>
      <c r="C16" s="16" t="str">
        <f>'Alloc Amt'!C16</f>
        <v>DIR252.00</v>
      </c>
      <c r="D16" s="16">
        <f>'Alloc Amt'!D16</f>
        <v>10</v>
      </c>
      <c r="E16" s="17">
        <f t="shared" si="0"/>
        <v>1</v>
      </c>
      <c r="F16" s="17">
        <f>'Alloc Amt'!F16/'Alloc Amt'!$E16</f>
        <v>0.4286586223232956</v>
      </c>
      <c r="G16" s="17">
        <f>'Alloc Amt'!G16/'Alloc Amt'!$E16</f>
        <v>0.53194365289525514</v>
      </c>
      <c r="H16" s="17">
        <f>'Alloc Amt'!H16/'Alloc Amt'!$E16</f>
        <v>3.5714304365506537E-2</v>
      </c>
      <c r="I16" s="17">
        <f>'Alloc Amt'!I16/'Alloc Amt'!$E16</f>
        <v>3.6834204159427362E-3</v>
      </c>
      <c r="J16" s="17">
        <f>'Alloc Amt'!J16/'Alloc Amt'!$E16</f>
        <v>0</v>
      </c>
      <c r="K16" s="17">
        <f>'Alloc Amt'!K16/'Alloc Amt'!$E16</f>
        <v>0</v>
      </c>
      <c r="L16" s="17">
        <f>'Alloc Amt'!L16/'Alloc Amt'!$E16</f>
        <v>0</v>
      </c>
      <c r="M16" s="17">
        <f>'Alloc Amt'!M16/'Alloc Amt'!$E16</f>
        <v>0</v>
      </c>
      <c r="N16" s="17">
        <f>'Alloc Amt'!N16/'Alloc Amt'!$E16</f>
        <v>0</v>
      </c>
      <c r="O16" s="17">
        <f>'Alloc Amt'!O16/'Alloc Amt'!$E16</f>
        <v>0</v>
      </c>
      <c r="P16" s="17">
        <f>'Alloc Amt'!P16/'Alloc Amt'!$E16</f>
        <v>0</v>
      </c>
      <c r="Q16" s="17">
        <f>'Alloc Amt'!Q16/'Alloc Amt'!$E16</f>
        <v>0</v>
      </c>
    </row>
    <row r="17" spans="2:17" x14ac:dyDescent="0.25">
      <c r="B17" s="16" t="str">
        <f>'Alloc Amt'!B17</f>
        <v>Line Transformers - Customer Related</v>
      </c>
      <c r="C17" s="16" t="str">
        <f>'Alloc Amt'!C17</f>
        <v>DIR368.03C</v>
      </c>
      <c r="D17" s="16">
        <f>'Alloc Amt'!D17</f>
        <v>11</v>
      </c>
      <c r="E17" s="17">
        <f t="shared" si="0"/>
        <v>1</v>
      </c>
      <c r="F17" s="17">
        <f>'Alloc Amt'!F17/'Alloc Amt'!$E17</f>
        <v>0</v>
      </c>
      <c r="G17" s="17">
        <f>'Alloc Amt'!G17/'Alloc Amt'!$E17</f>
        <v>0</v>
      </c>
      <c r="H17" s="17">
        <f>'Alloc Amt'!H17/'Alloc Amt'!$E17</f>
        <v>0</v>
      </c>
      <c r="I17" s="17">
        <f>'Alloc Amt'!I17/'Alloc Amt'!$E17</f>
        <v>0</v>
      </c>
      <c r="J17" s="17">
        <f>'Alloc Amt'!J17/'Alloc Amt'!$E17</f>
        <v>0.33092018566195119</v>
      </c>
      <c r="K17" s="17">
        <f>'Alloc Amt'!K17/'Alloc Amt'!$E17</f>
        <v>0</v>
      </c>
      <c r="L17" s="17">
        <f>'Alloc Amt'!L17/'Alloc Amt'!$E17</f>
        <v>1.8965522328649013E-2</v>
      </c>
      <c r="M17" s="17">
        <f>'Alloc Amt'!M17/'Alloc Amt'!$E17</f>
        <v>0.64232845664819072</v>
      </c>
      <c r="N17" s="17">
        <f>'Alloc Amt'!N17/'Alloc Amt'!$E17</f>
        <v>0</v>
      </c>
      <c r="O17" s="17">
        <f>'Alloc Amt'!O17/'Alloc Amt'!$E17</f>
        <v>0</v>
      </c>
      <c r="P17" s="17">
        <f>'Alloc Amt'!P17/'Alloc Amt'!$E17</f>
        <v>0</v>
      </c>
      <c r="Q17" s="17">
        <f>'Alloc Amt'!Q17/'Alloc Amt'!$E17</f>
        <v>7.7858353612091195E-3</v>
      </c>
    </row>
    <row r="18" spans="2:17" x14ac:dyDescent="0.25">
      <c r="B18" s="16" t="str">
        <f>'Alloc Amt'!B18</f>
        <v>Str. &amp; Signal Systems</v>
      </c>
      <c r="C18" s="16" t="str">
        <f>'Alloc Amt'!C18</f>
        <v>DIR373.00</v>
      </c>
      <c r="D18" s="16">
        <f>'Alloc Amt'!D18</f>
        <v>12</v>
      </c>
      <c r="E18" s="17">
        <f t="shared" si="0"/>
        <v>1</v>
      </c>
      <c r="F18" s="17">
        <f>'Alloc Amt'!F18/'Alloc Amt'!$E18</f>
        <v>0</v>
      </c>
      <c r="G18" s="17">
        <f>'Alloc Amt'!G18/'Alloc Amt'!$E18</f>
        <v>0</v>
      </c>
      <c r="H18" s="17">
        <f>'Alloc Amt'!H18/'Alloc Amt'!$E18</f>
        <v>0</v>
      </c>
      <c r="I18" s="17">
        <f>'Alloc Amt'!I18/'Alloc Amt'!$E18</f>
        <v>0</v>
      </c>
      <c r="J18" s="17">
        <f>'Alloc Amt'!J18/'Alloc Amt'!$E18</f>
        <v>0</v>
      </c>
      <c r="K18" s="17">
        <f>'Alloc Amt'!K18/'Alloc Amt'!$E18</f>
        <v>0</v>
      </c>
      <c r="L18" s="17">
        <f>'Alloc Amt'!L18/'Alloc Amt'!$E18</f>
        <v>0</v>
      </c>
      <c r="M18" s="17">
        <f>'Alloc Amt'!M18/'Alloc Amt'!$E18</f>
        <v>0</v>
      </c>
      <c r="N18" s="17">
        <f>'Alloc Amt'!N18/'Alloc Amt'!$E18</f>
        <v>0</v>
      </c>
      <c r="O18" s="17">
        <f>'Alloc Amt'!O18/'Alloc Amt'!$E18</f>
        <v>0</v>
      </c>
      <c r="P18" s="17">
        <f>'Alloc Amt'!P18/'Alloc Amt'!$E18</f>
        <v>1</v>
      </c>
      <c r="Q18" s="17">
        <f>'Alloc Amt'!Q18/'Alloc Amt'!$E18</f>
        <v>0</v>
      </c>
    </row>
    <row r="19" spans="2:17" x14ac:dyDescent="0.25">
      <c r="B19" s="16" t="str">
        <f>'Alloc Amt'!B19</f>
        <v>Late Payment Interest Rev</v>
      </c>
      <c r="C19" s="16" t="str">
        <f>'Alloc Amt'!C19</f>
        <v>DIR450.01</v>
      </c>
      <c r="D19" s="16">
        <f>'Alloc Amt'!D19</f>
        <v>13</v>
      </c>
      <c r="E19" s="17">
        <f t="shared" si="0"/>
        <v>0.99999999999999989</v>
      </c>
      <c r="F19" s="17">
        <f>'Alloc Amt'!F19/'Alloc Amt'!$E19</f>
        <v>0.78186295497184166</v>
      </c>
      <c r="G19" s="17">
        <f>'Alloc Amt'!G19/'Alloc Amt'!$E19</f>
        <v>0.11470982668073583</v>
      </c>
      <c r="H19" s="17">
        <f>'Alloc Amt'!H19/'Alloc Amt'!$E19</f>
        <v>4.2290701416988451E-2</v>
      </c>
      <c r="I19" s="17">
        <f>'Alloc Amt'!I19/'Alloc Amt'!$E19</f>
        <v>1.1147434345394995E-2</v>
      </c>
      <c r="J19" s="17">
        <f>'Alloc Amt'!J19/'Alloc Amt'!$E19</f>
        <v>9.3693768270235334E-3</v>
      </c>
      <c r="K19" s="17">
        <f>'Alloc Amt'!K19/'Alloc Amt'!$E19</f>
        <v>0</v>
      </c>
      <c r="L19" s="17">
        <f>'Alloc Amt'!L19/'Alloc Amt'!$E19</f>
        <v>6.6531897656732655E-5</v>
      </c>
      <c r="M19" s="17">
        <f>'Alloc Amt'!M19/'Alloc Amt'!$E19</f>
        <v>0</v>
      </c>
      <c r="N19" s="17">
        <f>'Alloc Amt'!N19/'Alloc Amt'!$E19</f>
        <v>1.2871713416445587E-3</v>
      </c>
      <c r="O19" s="17">
        <f>'Alloc Amt'!O19/'Alloc Amt'!$E19</f>
        <v>9.261773785028606E-4</v>
      </c>
      <c r="P19" s="17">
        <f>'Alloc Amt'!P19/'Alloc Amt'!$E19</f>
        <v>3.8323346339908901E-2</v>
      </c>
      <c r="Q19" s="17">
        <f>'Alloc Amt'!Q19/'Alloc Amt'!$E19</f>
        <v>1.6478800302392702E-5</v>
      </c>
    </row>
    <row r="20" spans="2:17" x14ac:dyDescent="0.25">
      <c r="B20" s="16" t="str">
        <f>'Alloc Amt'!B20</f>
        <v>Direct Assign  Disconnect Call - A/C 450.02</v>
      </c>
      <c r="C20" s="16" t="str">
        <f>'Alloc Amt'!C20</f>
        <v>DIR450.02</v>
      </c>
      <c r="D20" s="16">
        <f>'Alloc Amt'!D20</f>
        <v>14</v>
      </c>
      <c r="E20" s="17">
        <f t="shared" si="0"/>
        <v>0.99999999999999989</v>
      </c>
      <c r="F20" s="17">
        <f>'Alloc Amt'!F20/'Alloc Amt'!$E20</f>
        <v>0.94011627601407</v>
      </c>
      <c r="G20" s="17">
        <f>'Alloc Amt'!G20/'Alloc Amt'!$E20</f>
        <v>5.8247017381308698E-2</v>
      </c>
      <c r="H20" s="17">
        <f>'Alloc Amt'!H20/'Alloc Amt'!$E20</f>
        <v>1.2504370070590448E-3</v>
      </c>
      <c r="I20" s="17">
        <f>'Alloc Amt'!I20/'Alloc Amt'!$E20</f>
        <v>8.5042634348523691E-5</v>
      </c>
      <c r="J20" s="17">
        <f>'Alloc Amt'!J20/'Alloc Amt'!$E20</f>
        <v>0</v>
      </c>
      <c r="K20" s="17">
        <f>'Alloc Amt'!K20/'Alloc Amt'!$E20</f>
        <v>0</v>
      </c>
      <c r="L20" s="17">
        <f>'Alloc Amt'!L20/'Alloc Amt'!$E20</f>
        <v>0</v>
      </c>
      <c r="M20" s="17">
        <f>'Alloc Amt'!M20/'Alloc Amt'!$E20</f>
        <v>0</v>
      </c>
      <c r="N20" s="17">
        <f>'Alloc Amt'!N20/'Alloc Amt'!$E20</f>
        <v>0</v>
      </c>
      <c r="O20" s="17">
        <f>'Alloc Amt'!O20/'Alloc Amt'!$E20</f>
        <v>0</v>
      </c>
      <c r="P20" s="17">
        <f>'Alloc Amt'!P20/'Alloc Amt'!$E20</f>
        <v>3.0122696321364646E-4</v>
      </c>
      <c r="Q20" s="17">
        <f>'Alloc Amt'!Q20/'Alloc Amt'!$E20</f>
        <v>0</v>
      </c>
    </row>
    <row r="21" spans="2:17" x14ac:dyDescent="0.25">
      <c r="B21" s="16" t="str">
        <f>'Alloc Amt'!B21</f>
        <v>Connect/Reconnect Revenue</v>
      </c>
      <c r="C21" s="16" t="str">
        <f>'Alloc Amt'!C21</f>
        <v>DIR451.02</v>
      </c>
      <c r="D21" s="16">
        <f>'Alloc Amt'!D21</f>
        <v>15</v>
      </c>
      <c r="E21" s="17">
        <f t="shared" si="0"/>
        <v>1</v>
      </c>
      <c r="F21" s="17">
        <f>'Alloc Amt'!F21/'Alloc Amt'!$E21</f>
        <v>0.9767889548549169</v>
      </c>
      <c r="G21" s="17">
        <f>'Alloc Amt'!G21/'Alloc Amt'!$E21</f>
        <v>2.2722889444232744E-2</v>
      </c>
      <c r="H21" s="17">
        <f>'Alloc Amt'!H21/'Alloc Amt'!$E21</f>
        <v>4.8815570085043188E-4</v>
      </c>
      <c r="I21" s="17">
        <f>'Alloc Amt'!I21/'Alloc Amt'!$E21</f>
        <v>0</v>
      </c>
      <c r="J21" s="17">
        <f>'Alloc Amt'!J21/'Alloc Amt'!$E21</f>
        <v>0</v>
      </c>
      <c r="K21" s="17">
        <f>'Alloc Amt'!K21/'Alloc Amt'!$E21</f>
        <v>0</v>
      </c>
      <c r="L21" s="17">
        <f>'Alloc Amt'!L21/'Alloc Amt'!$E21</f>
        <v>0</v>
      </c>
      <c r="M21" s="17">
        <f>'Alloc Amt'!M21/'Alloc Amt'!$E21</f>
        <v>0</v>
      </c>
      <c r="N21" s="17">
        <f>'Alloc Amt'!N21/'Alloc Amt'!$E21</f>
        <v>0</v>
      </c>
      <c r="O21" s="17">
        <f>'Alloc Amt'!O21/'Alloc Amt'!$E21</f>
        <v>0</v>
      </c>
      <c r="P21" s="17">
        <f>'Alloc Amt'!P21/'Alloc Amt'!$E21</f>
        <v>0</v>
      </c>
      <c r="Q21" s="17">
        <f>'Alloc Amt'!Q21/'Alloc Amt'!$E21</f>
        <v>0</v>
      </c>
    </row>
    <row r="22" spans="2:17" x14ac:dyDescent="0.25">
      <c r="B22" s="16" t="str">
        <f>'Alloc Amt'!B22</f>
        <v>Billing Initiation Charge</v>
      </c>
      <c r="C22" s="16" t="str">
        <f>'Alloc Amt'!C22</f>
        <v>DIR451.05</v>
      </c>
      <c r="D22" s="16">
        <f>'Alloc Amt'!D22</f>
        <v>16</v>
      </c>
      <c r="E22" s="17">
        <f t="shared" si="0"/>
        <v>0.99999999999999989</v>
      </c>
      <c r="F22" s="17">
        <f>'Alloc Amt'!F22/'Alloc Amt'!$E22</f>
        <v>0.91515009949966963</v>
      </c>
      <c r="G22" s="17">
        <f>'Alloc Amt'!G22/'Alloc Amt'!$E22</f>
        <v>8.2103481906014422E-2</v>
      </c>
      <c r="H22" s="17">
        <f>'Alloc Amt'!H22/'Alloc Amt'!$E22</f>
        <v>2.4823827627927226E-3</v>
      </c>
      <c r="I22" s="17">
        <f>'Alloc Amt'!I22/'Alloc Amt'!$E22</f>
        <v>1.7960198329893611E-4</v>
      </c>
      <c r="J22" s="17">
        <f>'Alloc Amt'!J22/'Alloc Amt'!$E22</f>
        <v>8.3427508831894302E-5</v>
      </c>
      <c r="K22" s="17">
        <f>'Alloc Amt'!K22/'Alloc Amt'!$E22</f>
        <v>0</v>
      </c>
      <c r="L22" s="17">
        <f>'Alloc Amt'!L22/'Alloc Amt'!$E22</f>
        <v>0</v>
      </c>
      <c r="M22" s="17">
        <f>'Alloc Amt'!M22/'Alloc Amt'!$E22</f>
        <v>0</v>
      </c>
      <c r="N22" s="17">
        <f>'Alloc Amt'!N22/'Alloc Amt'!$E22</f>
        <v>1.0063393922484885E-6</v>
      </c>
      <c r="O22" s="17">
        <f>'Alloc Amt'!O22/'Alloc Amt'!$E22</f>
        <v>0</v>
      </c>
      <c r="P22" s="17">
        <f>'Alloc Amt'!P22/'Alloc Amt'!$E22</f>
        <v>0</v>
      </c>
      <c r="Q22" s="17">
        <f>'Alloc Amt'!Q22/'Alloc Amt'!$E22</f>
        <v>0</v>
      </c>
    </row>
    <row r="23" spans="2:17" x14ac:dyDescent="0.25">
      <c r="B23" s="16" t="str">
        <f>'Alloc Amt'!B23</f>
        <v>NSF Check Charge Revenue</v>
      </c>
      <c r="C23" s="16" t="str">
        <f>'Alloc Amt'!C23</f>
        <v>DIR451.06</v>
      </c>
      <c r="D23" s="16">
        <f>'Alloc Amt'!D23</f>
        <v>17</v>
      </c>
      <c r="E23" s="17">
        <f t="shared" si="0"/>
        <v>0.99999999999999989</v>
      </c>
      <c r="F23" s="17">
        <f>'Alloc Amt'!F23/'Alloc Amt'!$E23</f>
        <v>0.656151494115645</v>
      </c>
      <c r="G23" s="17">
        <f>'Alloc Amt'!G23/'Alloc Amt'!$E23</f>
        <v>0.24904718558474845</v>
      </c>
      <c r="H23" s="17">
        <f>'Alloc Amt'!H23/'Alloc Amt'!$E23</f>
        <v>9.2392948498051158E-2</v>
      </c>
      <c r="I23" s="17">
        <f>'Alloc Amt'!I23/'Alloc Amt'!$E23</f>
        <v>0</v>
      </c>
      <c r="J23" s="17">
        <f>'Alloc Amt'!J23/'Alloc Amt'!$E23</f>
        <v>0</v>
      </c>
      <c r="K23" s="17">
        <f>'Alloc Amt'!K23/'Alloc Amt'!$E23</f>
        <v>0</v>
      </c>
      <c r="L23" s="17">
        <f>'Alloc Amt'!L23/'Alloc Amt'!$E23</f>
        <v>0</v>
      </c>
      <c r="M23" s="17">
        <f>'Alloc Amt'!M23/'Alloc Amt'!$E23</f>
        <v>0</v>
      </c>
      <c r="N23" s="17">
        <f>'Alloc Amt'!N23/'Alloc Amt'!$E23</f>
        <v>0</v>
      </c>
      <c r="O23" s="17">
        <f>'Alloc Amt'!O23/'Alloc Amt'!$E23</f>
        <v>0</v>
      </c>
      <c r="P23" s="17">
        <f>'Alloc Amt'!P23/'Alloc Amt'!$E23</f>
        <v>2.4083718015552955E-3</v>
      </c>
      <c r="Q23" s="17">
        <f>'Alloc Amt'!Q23/'Alloc Amt'!$E23</f>
        <v>0</v>
      </c>
    </row>
    <row r="24" spans="2:17" x14ac:dyDescent="0.25">
      <c r="B24" s="16" t="str">
        <f>'Alloc Amt'!B24</f>
        <v>Direct Assign 904 Uncollectibles</v>
      </c>
      <c r="C24" s="16" t="str">
        <f>'Alloc Amt'!C24</f>
        <v>DIR904.00</v>
      </c>
      <c r="D24" s="16">
        <f>'Alloc Amt'!D24</f>
        <v>18</v>
      </c>
      <c r="E24" s="17">
        <f t="shared" si="0"/>
        <v>0.99999999999999989</v>
      </c>
      <c r="F24" s="17">
        <f>'Alloc Amt'!F24/'Alloc Amt'!$E24</f>
        <v>0.8853825160025196</v>
      </c>
      <c r="G24" s="17">
        <f>'Alloc Amt'!G24/'Alloc Amt'!$E24</f>
        <v>6.3687275902134882E-2</v>
      </c>
      <c r="H24" s="17">
        <f>'Alloc Amt'!H24/'Alloc Amt'!$E24</f>
        <v>1.0297212766650366E-2</v>
      </c>
      <c r="I24" s="17">
        <f>'Alloc Amt'!I24/'Alloc Amt'!$E24</f>
        <v>1.6076706083042191E-2</v>
      </c>
      <c r="J24" s="17">
        <f>'Alloc Amt'!J24/'Alloc Amt'!$E24</f>
        <v>2.2008554317511406E-2</v>
      </c>
      <c r="K24" s="17">
        <f>'Alloc Amt'!K24/'Alloc Amt'!$E24</f>
        <v>0</v>
      </c>
      <c r="L24" s="17">
        <f>'Alloc Amt'!L24/'Alloc Amt'!$E24</f>
        <v>0</v>
      </c>
      <c r="M24" s="17">
        <f>'Alloc Amt'!M24/'Alloc Amt'!$E24</f>
        <v>0</v>
      </c>
      <c r="N24" s="17">
        <f>'Alloc Amt'!N24/'Alloc Amt'!$E24</f>
        <v>0</v>
      </c>
      <c r="O24" s="17">
        <f>'Alloc Amt'!O24/'Alloc Amt'!$E24</f>
        <v>0</v>
      </c>
      <c r="P24" s="17">
        <f>'Alloc Amt'!P24/'Alloc Amt'!$E24</f>
        <v>2.5477349281414732E-3</v>
      </c>
      <c r="Q24" s="17">
        <f>'Alloc Amt'!Q24/'Alloc Amt'!$E24</f>
        <v>0</v>
      </c>
    </row>
    <row r="25" spans="2:17" x14ac:dyDescent="0.25">
      <c r="B25" s="16" t="str">
        <f>'Alloc Amt'!B25</f>
        <v>Meter Investment</v>
      </c>
      <c r="C25" s="16" t="str">
        <f>'Alloc Amt'!C25</f>
        <v>METER</v>
      </c>
      <c r="D25" s="16">
        <f>'Alloc Amt'!D25</f>
        <v>19</v>
      </c>
      <c r="E25" s="17">
        <f t="shared" si="0"/>
        <v>1</v>
      </c>
      <c r="F25" s="17">
        <f>'Alloc Amt'!F25/'Alloc Amt'!$E25</f>
        <v>0.64922596597539906</v>
      </c>
      <c r="G25" s="17">
        <f>'Alloc Amt'!G25/'Alloc Amt'!$E25</f>
        <v>0.18222827816849618</v>
      </c>
      <c r="H25" s="17">
        <f>'Alloc Amt'!H25/'Alloc Amt'!$E25</f>
        <v>5.3855034276632484E-2</v>
      </c>
      <c r="I25" s="17">
        <f>'Alloc Amt'!I25/'Alloc Amt'!$E25</f>
        <v>6.0528439085588354E-3</v>
      </c>
      <c r="J25" s="17">
        <f>'Alloc Amt'!J25/'Alloc Amt'!$E25</f>
        <v>7.2499760370043104E-2</v>
      </c>
      <c r="K25" s="17">
        <f>'Alloc Amt'!K25/'Alloc Amt'!$E25</f>
        <v>2.3506706645110047E-4</v>
      </c>
      <c r="L25" s="17">
        <f>'Alloc Amt'!L25/'Alloc Amt'!$E25</f>
        <v>2.3430594920694079E-2</v>
      </c>
      <c r="M25" s="17">
        <f>'Alloc Amt'!M25/'Alloc Amt'!$E25</f>
        <v>4.7388718767973573E-3</v>
      </c>
      <c r="N25" s="17">
        <f>'Alloc Amt'!N25/'Alloc Amt'!$E25</f>
        <v>2.9428281467111998E-3</v>
      </c>
      <c r="O25" s="17">
        <f>'Alloc Amt'!O25/'Alloc Amt'!$E25</f>
        <v>4.7379279512920367E-3</v>
      </c>
      <c r="P25" s="17">
        <f>'Alloc Amt'!P25/'Alloc Amt'!$E25</f>
        <v>0</v>
      </c>
      <c r="Q25" s="17">
        <f>'Alloc Amt'!Q25/'Alloc Amt'!$E25</f>
        <v>5.2827338924457138E-5</v>
      </c>
    </row>
    <row r="26" spans="2:17" x14ac:dyDescent="0.25">
      <c r="B26" s="16" t="str">
        <f>'Alloc Amt'!B26</f>
        <v>Dist OH Services (Sec Voltage Only)</v>
      </c>
      <c r="C26" s="16" t="str">
        <f>'Alloc Amt'!C26</f>
        <v>OH_SVC</v>
      </c>
      <c r="D26" s="16">
        <f>'Alloc Amt'!D26</f>
        <v>20</v>
      </c>
      <c r="E26" s="17">
        <f t="shared" si="0"/>
        <v>1</v>
      </c>
      <c r="F26" s="17">
        <f>'Alloc Amt'!F26/'Alloc Amt'!$E26</f>
        <v>0.86298384468324196</v>
      </c>
      <c r="G26" s="17">
        <f>'Alloc Amt'!G26/'Alloc Amt'!$E26</f>
        <v>0.13185482105590879</v>
      </c>
      <c r="H26" s="17">
        <f>'Alloc Amt'!H26/'Alloc Amt'!$E26</f>
        <v>5.051880895279884E-3</v>
      </c>
      <c r="I26" s="17">
        <f>'Alloc Amt'!I26/'Alloc Amt'!$E26</f>
        <v>1.094533655693764E-4</v>
      </c>
      <c r="J26" s="17">
        <f>'Alloc Amt'!J26/'Alloc Amt'!$E26</f>
        <v>0</v>
      </c>
      <c r="K26" s="17">
        <f>'Alloc Amt'!K26/'Alloc Amt'!$E26</f>
        <v>0</v>
      </c>
      <c r="L26" s="17">
        <f>'Alloc Amt'!L26/'Alloc Amt'!$E26</f>
        <v>0</v>
      </c>
      <c r="M26" s="17">
        <f>'Alloc Amt'!M26/'Alloc Amt'!$E26</f>
        <v>0</v>
      </c>
      <c r="N26" s="17">
        <f>'Alloc Amt'!N26/'Alloc Amt'!$E26</f>
        <v>0</v>
      </c>
      <c r="O26" s="17">
        <f>'Alloc Amt'!O26/'Alloc Amt'!$E26</f>
        <v>0</v>
      </c>
      <c r="P26" s="17">
        <f>'Alloc Amt'!P26/'Alloc Amt'!$E26</f>
        <v>0</v>
      </c>
      <c r="Q26" s="17">
        <f>'Alloc Amt'!Q26/'Alloc Amt'!$E26</f>
        <v>0</v>
      </c>
    </row>
    <row r="27" spans="2:17" x14ac:dyDescent="0.25">
      <c r="B27" s="16" t="str">
        <f>'Alloc Amt'!B27</f>
        <v>Allocate Overhead Transformers</v>
      </c>
      <c r="C27" s="16" t="str">
        <f>'Alloc Amt'!C27</f>
        <v>OH_TFMRC</v>
      </c>
      <c r="D27" s="16">
        <f>'Alloc Amt'!D27</f>
        <v>21</v>
      </c>
      <c r="E27" s="17" t="e">
        <f t="shared" si="0"/>
        <v>#DIV/0!</v>
      </c>
      <c r="F27" s="17" t="e">
        <f>'Alloc Amt'!F27/'Alloc Amt'!$E27</f>
        <v>#DIV/0!</v>
      </c>
      <c r="G27" s="17" t="e">
        <f>'Alloc Amt'!G27/'Alloc Amt'!$E27</f>
        <v>#DIV/0!</v>
      </c>
      <c r="H27" s="17" t="e">
        <f>'Alloc Amt'!H27/'Alloc Amt'!$E27</f>
        <v>#DIV/0!</v>
      </c>
      <c r="I27" s="17" t="e">
        <f>'Alloc Amt'!I27/'Alloc Amt'!$E27</f>
        <v>#DIV/0!</v>
      </c>
      <c r="J27" s="17" t="e">
        <f>'Alloc Amt'!J27/'Alloc Amt'!$E27</f>
        <v>#DIV/0!</v>
      </c>
      <c r="K27" s="17" t="e">
        <f>'Alloc Amt'!K27/'Alloc Amt'!$E27</f>
        <v>#DIV/0!</v>
      </c>
      <c r="L27" s="17" t="e">
        <f>'Alloc Amt'!L27/'Alloc Amt'!$E27</f>
        <v>#DIV/0!</v>
      </c>
      <c r="M27" s="17" t="e">
        <f>'Alloc Amt'!M27/'Alloc Amt'!$E27</f>
        <v>#DIV/0!</v>
      </c>
      <c r="N27" s="17" t="e">
        <f>'Alloc Amt'!N27/'Alloc Amt'!$E27</f>
        <v>#DIV/0!</v>
      </c>
      <c r="O27" s="17" t="e">
        <f>'Alloc Amt'!O27/'Alloc Amt'!$E27</f>
        <v>#DIV/0!</v>
      </c>
      <c r="P27" s="17" t="e">
        <f>'Alloc Amt'!P27/'Alloc Amt'!$E27</f>
        <v>#DIV/0!</v>
      </c>
      <c r="Q27" s="17" t="e">
        <f>'Alloc Amt'!Q27/'Alloc Amt'!$E27</f>
        <v>#DIV/0!</v>
      </c>
    </row>
    <row r="28" spans="2:17" x14ac:dyDescent="0.25">
      <c r="B28" s="16" t="str">
        <f>'Alloc Amt'!B28</f>
        <v>Proforma Revenue</v>
      </c>
      <c r="C28" s="16" t="str">
        <f>'Alloc Amt'!C28</f>
        <v>PROFORMA</v>
      </c>
      <c r="D28" s="16">
        <f>'Alloc Amt'!D28</f>
        <v>22</v>
      </c>
      <c r="E28" s="17">
        <f t="shared" si="0"/>
        <v>1</v>
      </c>
      <c r="F28" s="17">
        <f>'Alloc Amt'!F28/'Alloc Amt'!$E28</f>
        <v>0.55377826393330232</v>
      </c>
      <c r="G28" s="17">
        <f>'Alloc Amt'!G28/'Alloc Amt'!$E28</f>
        <v>0.13189287770633396</v>
      </c>
      <c r="H28" s="17">
        <f>'Alloc Amt'!H28/'Alloc Amt'!$E28</f>
        <v>0.1355547992265492</v>
      </c>
      <c r="I28" s="17">
        <f>'Alloc Amt'!I28/'Alloc Amt'!$E28</f>
        <v>8.0260714966232771E-2</v>
      </c>
      <c r="J28" s="17">
        <f>'Alloc Amt'!J28/'Alloc Amt'!$E28</f>
        <v>5.6712610860473911E-2</v>
      </c>
      <c r="K28" s="17">
        <f>'Alloc Amt'!K28/'Alloc Amt'!$E28</f>
        <v>1.3420815236036984E-4</v>
      </c>
      <c r="L28" s="17">
        <f>'Alloc Amt'!L28/'Alloc Amt'!$E28</f>
        <v>5.3515940162286941E-3</v>
      </c>
      <c r="M28" s="17">
        <f>'Alloc Amt'!M28/'Alloc Amt'!$E28</f>
        <v>2.7508980702474861E-3</v>
      </c>
      <c r="N28" s="17">
        <f>'Alloc Amt'!N28/'Alloc Amt'!$E28</f>
        <v>2.0094239422963341E-2</v>
      </c>
      <c r="O28" s="17">
        <f>'Alloc Amt'!O28/'Alloc Amt'!$E28</f>
        <v>5.064769120549751E-3</v>
      </c>
      <c r="P28" s="17">
        <f>'Alloc Amt'!P28/'Alloc Amt'!$E28</f>
        <v>8.2410988314859396E-3</v>
      </c>
      <c r="Q28" s="17">
        <f>'Alloc Amt'!Q28/'Alloc Amt'!$E28</f>
        <v>1.6392569327233156E-4</v>
      </c>
    </row>
    <row r="29" spans="2:17" x14ac:dyDescent="0.25">
      <c r="B29" s="16" t="str">
        <f>'Alloc Amt'!B29</f>
        <v>Proforma Retail Revenue - No Transportation &amp; Special Contract</v>
      </c>
      <c r="C29" s="16" t="str">
        <f>'Alloc Amt'!C29</f>
        <v>PROFORMA_RETAIL</v>
      </c>
      <c r="D29" s="16">
        <f>'Alloc Amt'!D29</f>
        <v>23</v>
      </c>
      <c r="E29" s="17">
        <f t="shared" si="0"/>
        <v>1</v>
      </c>
      <c r="F29" s="17">
        <f>'Alloc Amt'!F29/'Alloc Amt'!$E29</f>
        <v>0.55823273388425976</v>
      </c>
      <c r="G29" s="17">
        <f>'Alloc Amt'!G29/'Alloc Amt'!$E29</f>
        <v>0.1329537948617226</v>
      </c>
      <c r="H29" s="17">
        <f>'Alloc Amt'!H29/'Alloc Amt'!$E29</f>
        <v>0.13664517206923532</v>
      </c>
      <c r="I29" s="17">
        <f>'Alloc Amt'!I29/'Alloc Amt'!$E29</f>
        <v>8.0906314417031208E-2</v>
      </c>
      <c r="J29" s="17">
        <f>'Alloc Amt'!J29/'Alloc Amt'!$E29</f>
        <v>5.7168794566789902E-2</v>
      </c>
      <c r="K29" s="17">
        <f>'Alloc Amt'!K29/'Alloc Amt'!$E29</f>
        <v>1.3528769307331989E-4</v>
      </c>
      <c r="L29" s="17">
        <f>'Alloc Amt'!L29/'Alloc Amt'!$E29</f>
        <v>5.3946410556081339E-3</v>
      </c>
      <c r="M29" s="17">
        <f>'Alloc Amt'!M29/'Alloc Amt'!$E29</f>
        <v>0</v>
      </c>
      <c r="N29" s="17">
        <f>'Alloc Amt'!N29/'Alloc Amt'!$E29</f>
        <v>2.025587304336076E-2</v>
      </c>
      <c r="O29" s="17">
        <f>'Alloc Amt'!O29/'Alloc Amt'!$E29</f>
        <v>0</v>
      </c>
      <c r="P29" s="17">
        <f>'Alloc Amt'!P29/'Alloc Amt'!$E29</f>
        <v>8.3073884089189514E-3</v>
      </c>
      <c r="Q29" s="17">
        <f>'Alloc Amt'!Q29/'Alloc Amt'!$E29</f>
        <v>0</v>
      </c>
    </row>
    <row r="30" spans="2:17" x14ac:dyDescent="0.25">
      <c r="B30" s="16" t="str">
        <f>'Alloc Amt'!B30</f>
        <v>Residential Allocation Only</v>
      </c>
      <c r="C30" s="16" t="str">
        <f>'Alloc Amt'!C30</f>
        <v>RESID</v>
      </c>
      <c r="D30" s="16">
        <f>'Alloc Amt'!D30</f>
        <v>24</v>
      </c>
      <c r="E30" s="17">
        <f t="shared" si="0"/>
        <v>1</v>
      </c>
      <c r="F30" s="17">
        <f>'Alloc Amt'!F30/'Alloc Amt'!$E30</f>
        <v>1</v>
      </c>
      <c r="G30" s="17">
        <f>'Alloc Amt'!G30/'Alloc Amt'!$E30</f>
        <v>0</v>
      </c>
      <c r="H30" s="17">
        <f>'Alloc Amt'!H30/'Alloc Amt'!$E30</f>
        <v>0</v>
      </c>
      <c r="I30" s="17">
        <f>'Alloc Amt'!I30/'Alloc Amt'!$E30</f>
        <v>0</v>
      </c>
      <c r="J30" s="17">
        <f>'Alloc Amt'!J30/'Alloc Amt'!$E30</f>
        <v>0</v>
      </c>
      <c r="K30" s="17">
        <f>'Alloc Amt'!K30/'Alloc Amt'!$E30</f>
        <v>0</v>
      </c>
      <c r="L30" s="17">
        <f>'Alloc Amt'!L30/'Alloc Amt'!$E30</f>
        <v>0</v>
      </c>
      <c r="M30" s="17">
        <f>'Alloc Amt'!M30/'Alloc Amt'!$E30</f>
        <v>0</v>
      </c>
      <c r="N30" s="17">
        <f>'Alloc Amt'!N30/'Alloc Amt'!$E30</f>
        <v>0</v>
      </c>
      <c r="O30" s="17">
        <f>'Alloc Amt'!O30/'Alloc Amt'!$E30</f>
        <v>0</v>
      </c>
      <c r="P30" s="17">
        <f>'Alloc Amt'!P30/'Alloc Amt'!$E30</f>
        <v>0</v>
      </c>
      <c r="Q30" s="17">
        <f>'Alloc Amt'!Q30/'Alloc Amt'!$E30</f>
        <v>0</v>
      </c>
    </row>
    <row r="31" spans="2:17" x14ac:dyDescent="0.25">
      <c r="B31" s="16" t="str">
        <f>'Alloc Amt'!B31</f>
        <v>Allocate Underground Transformers</v>
      </c>
      <c r="C31" s="16" t="str">
        <f>'Alloc Amt'!C31</f>
        <v>UG_TFMRC</v>
      </c>
      <c r="D31" s="16">
        <f>'Alloc Amt'!D31</f>
        <v>25</v>
      </c>
      <c r="E31" s="17" t="e">
        <f t="shared" si="0"/>
        <v>#DIV/0!</v>
      </c>
      <c r="F31" s="17" t="e">
        <f>'Alloc Amt'!F31/'Alloc Amt'!$E31</f>
        <v>#DIV/0!</v>
      </c>
      <c r="G31" s="17" t="e">
        <f>'Alloc Amt'!G31/'Alloc Amt'!$E31</f>
        <v>#DIV/0!</v>
      </c>
      <c r="H31" s="17" t="e">
        <f>'Alloc Amt'!H31/'Alloc Amt'!$E31</f>
        <v>#DIV/0!</v>
      </c>
      <c r="I31" s="17" t="e">
        <f>'Alloc Amt'!I31/'Alloc Amt'!$E31</f>
        <v>#DIV/0!</v>
      </c>
      <c r="J31" s="17" t="e">
        <f>'Alloc Amt'!J31/'Alloc Amt'!$E31</f>
        <v>#DIV/0!</v>
      </c>
      <c r="K31" s="17" t="e">
        <f>'Alloc Amt'!K31/'Alloc Amt'!$E31</f>
        <v>#DIV/0!</v>
      </c>
      <c r="L31" s="17" t="e">
        <f>'Alloc Amt'!L31/'Alloc Amt'!$E31</f>
        <v>#DIV/0!</v>
      </c>
      <c r="M31" s="17" t="e">
        <f>'Alloc Amt'!M31/'Alloc Amt'!$E31</f>
        <v>#DIV/0!</v>
      </c>
      <c r="N31" s="17" t="e">
        <f>'Alloc Amt'!N31/'Alloc Amt'!$E31</f>
        <v>#DIV/0!</v>
      </c>
      <c r="O31" s="17" t="e">
        <f>'Alloc Amt'!O31/'Alloc Amt'!$E31</f>
        <v>#DIV/0!</v>
      </c>
      <c r="P31" s="17" t="e">
        <f>'Alloc Amt'!P31/'Alloc Amt'!$E31</f>
        <v>#DIV/0!</v>
      </c>
      <c r="Q31" s="17" t="e">
        <f>'Alloc Amt'!Q31/'Alloc Amt'!$E31</f>
        <v>#DIV/0!</v>
      </c>
    </row>
    <row r="32" spans="2:17" x14ac:dyDescent="0.25">
      <c r="B32" s="16" t="str">
        <f>'Alloc Amt'!B32</f>
        <v>Top 75 CP Hours (not used)</v>
      </c>
      <c r="C32" s="16" t="str">
        <f>'Alloc Amt'!C32</f>
        <v>DEM_1</v>
      </c>
      <c r="D32" s="16">
        <f>'Alloc Amt'!D32</f>
        <v>26</v>
      </c>
      <c r="E32" s="17" t="e">
        <f t="shared" si="0"/>
        <v>#DIV/0!</v>
      </c>
      <c r="F32" s="17" t="e">
        <f>'Alloc Amt'!F32/'Alloc Amt'!$E32</f>
        <v>#DIV/0!</v>
      </c>
      <c r="G32" s="17" t="e">
        <f>'Alloc Amt'!G32/'Alloc Amt'!$E32</f>
        <v>#DIV/0!</v>
      </c>
      <c r="H32" s="17" t="e">
        <f>'Alloc Amt'!H32/'Alloc Amt'!$E32</f>
        <v>#DIV/0!</v>
      </c>
      <c r="I32" s="17" t="e">
        <f>'Alloc Amt'!I32/'Alloc Amt'!$E32</f>
        <v>#DIV/0!</v>
      </c>
      <c r="J32" s="17" t="e">
        <f>'Alloc Amt'!J32/'Alloc Amt'!$E32</f>
        <v>#DIV/0!</v>
      </c>
      <c r="K32" s="17" t="e">
        <f>'Alloc Amt'!K32/'Alloc Amt'!$E32</f>
        <v>#DIV/0!</v>
      </c>
      <c r="L32" s="17" t="e">
        <f>'Alloc Amt'!L32/'Alloc Amt'!$E32</f>
        <v>#DIV/0!</v>
      </c>
      <c r="M32" s="17" t="e">
        <f>'Alloc Amt'!M32/'Alloc Amt'!$E32</f>
        <v>#DIV/0!</v>
      </c>
      <c r="N32" s="17" t="e">
        <f>'Alloc Amt'!N32/'Alloc Amt'!$E32</f>
        <v>#DIV/0!</v>
      </c>
      <c r="O32" s="17" t="e">
        <f>'Alloc Amt'!O32/'Alloc Amt'!$E32</f>
        <v>#DIV/0!</v>
      </c>
      <c r="P32" s="17" t="e">
        <f>'Alloc Amt'!P32/'Alloc Amt'!$E32</f>
        <v>#DIV/0!</v>
      </c>
      <c r="Q32" s="17" t="e">
        <f>'Alloc Amt'!Q32/'Alloc Amt'!$E32</f>
        <v>#DIV/0!</v>
      </c>
    </row>
    <row r="33" spans="2:17" x14ac:dyDescent="0.25">
      <c r="B33" s="16" t="str">
        <f>'Alloc Amt'!B33</f>
        <v>Top 75  CP Hours Excl. Interruptible (Not Used)</v>
      </c>
      <c r="C33" s="16" t="str">
        <f>'Alloc Amt'!C33</f>
        <v>DEM_1A</v>
      </c>
      <c r="D33" s="16">
        <f>'Alloc Amt'!D33</f>
        <v>27</v>
      </c>
      <c r="E33" s="17" t="e">
        <f t="shared" si="0"/>
        <v>#DIV/0!</v>
      </c>
      <c r="F33" s="17" t="e">
        <f>'Alloc Amt'!F33/'Alloc Amt'!$E33</f>
        <v>#DIV/0!</v>
      </c>
      <c r="G33" s="17" t="e">
        <f>'Alloc Amt'!G33/'Alloc Amt'!$E33</f>
        <v>#DIV/0!</v>
      </c>
      <c r="H33" s="17" t="e">
        <f>'Alloc Amt'!H33/'Alloc Amt'!$E33</f>
        <v>#DIV/0!</v>
      </c>
      <c r="I33" s="17" t="e">
        <f>'Alloc Amt'!I33/'Alloc Amt'!$E33</f>
        <v>#DIV/0!</v>
      </c>
      <c r="J33" s="17" t="e">
        <f>'Alloc Amt'!J33/'Alloc Amt'!$E33</f>
        <v>#DIV/0!</v>
      </c>
      <c r="K33" s="17" t="e">
        <f>'Alloc Amt'!K33/'Alloc Amt'!$E33</f>
        <v>#DIV/0!</v>
      </c>
      <c r="L33" s="17" t="e">
        <f>'Alloc Amt'!L33/'Alloc Amt'!$E33</f>
        <v>#DIV/0!</v>
      </c>
      <c r="M33" s="17" t="e">
        <f>'Alloc Amt'!M33/'Alloc Amt'!$E33</f>
        <v>#DIV/0!</v>
      </c>
      <c r="N33" s="17" t="e">
        <f>'Alloc Amt'!N33/'Alloc Amt'!$E33</f>
        <v>#DIV/0!</v>
      </c>
      <c r="O33" s="17" t="e">
        <f>'Alloc Amt'!O33/'Alloc Amt'!$E33</f>
        <v>#DIV/0!</v>
      </c>
      <c r="P33" s="17" t="e">
        <f>'Alloc Amt'!P33/'Alloc Amt'!$E33</f>
        <v>#DIV/0!</v>
      </c>
      <c r="Q33" s="17" t="e">
        <f>'Alloc Amt'!Q33/'Alloc Amt'!$E33</f>
        <v>#DIV/0!</v>
      </c>
    </row>
    <row r="34" spans="2:17" x14ac:dyDescent="0.25">
      <c r="B34" s="16" t="str">
        <f>'Alloc Amt'!B34</f>
        <v>Top 75 CP - No Interruptibles or Transportation (Not Used)</v>
      </c>
      <c r="C34" s="16" t="str">
        <f>'Alloc Amt'!C34</f>
        <v>DEM_1B</v>
      </c>
      <c r="D34" s="16">
        <f>'Alloc Amt'!D34</f>
        <v>28</v>
      </c>
      <c r="E34" s="17" t="e">
        <f t="shared" si="0"/>
        <v>#DIV/0!</v>
      </c>
      <c r="F34" s="17" t="e">
        <f>'Alloc Amt'!F34/'Alloc Amt'!$E34</f>
        <v>#DIV/0!</v>
      </c>
      <c r="G34" s="17" t="e">
        <f>'Alloc Amt'!G34/'Alloc Amt'!$E34</f>
        <v>#DIV/0!</v>
      </c>
      <c r="H34" s="17" t="e">
        <f>'Alloc Amt'!H34/'Alloc Amt'!$E34</f>
        <v>#DIV/0!</v>
      </c>
      <c r="I34" s="17" t="e">
        <f>'Alloc Amt'!I34/'Alloc Amt'!$E34</f>
        <v>#DIV/0!</v>
      </c>
      <c r="J34" s="17" t="e">
        <f>'Alloc Amt'!J34/'Alloc Amt'!$E34</f>
        <v>#DIV/0!</v>
      </c>
      <c r="K34" s="17" t="e">
        <f>'Alloc Amt'!K34/'Alloc Amt'!$E34</f>
        <v>#DIV/0!</v>
      </c>
      <c r="L34" s="17" t="e">
        <f>'Alloc Amt'!L34/'Alloc Amt'!$E34</f>
        <v>#DIV/0!</v>
      </c>
      <c r="M34" s="17" t="e">
        <f>'Alloc Amt'!M34/'Alloc Amt'!$E34</f>
        <v>#DIV/0!</v>
      </c>
      <c r="N34" s="17" t="e">
        <f>'Alloc Amt'!N34/'Alloc Amt'!$E34</f>
        <v>#DIV/0!</v>
      </c>
      <c r="O34" s="17" t="e">
        <f>'Alloc Amt'!O34/'Alloc Amt'!$E34</f>
        <v>#DIV/0!</v>
      </c>
      <c r="P34" s="17" t="e">
        <f>'Alloc Amt'!P34/'Alloc Amt'!$E34</f>
        <v>#DIV/0!</v>
      </c>
      <c r="Q34" s="17" t="e">
        <f>'Alloc Amt'!Q34/'Alloc Amt'!$E34</f>
        <v>#DIV/0!</v>
      </c>
    </row>
    <row r="35" spans="2:17" x14ac:dyDescent="0.25">
      <c r="B35" s="16" t="str">
        <f>'Alloc Amt'!B35</f>
        <v>4 CP Winter Peak - No Interruptibles</v>
      </c>
      <c r="C35" s="16" t="str">
        <f>'Alloc Amt'!C35</f>
        <v>DEM_2A</v>
      </c>
      <c r="D35" s="16">
        <f>'Alloc Amt'!D35</f>
        <v>29</v>
      </c>
      <c r="E35" s="17">
        <f t="shared" si="0"/>
        <v>0.99999999999999989</v>
      </c>
      <c r="F35" s="17">
        <f>'Alloc Amt'!F35/'Alloc Amt'!$E35</f>
        <v>0.5347191170420158</v>
      </c>
      <c r="G35" s="17">
        <f>'Alloc Amt'!G35/'Alloc Amt'!$E35</f>
        <v>0.12328109256695466</v>
      </c>
      <c r="H35" s="17">
        <f>'Alloc Amt'!H35/'Alloc Amt'!$E35</f>
        <v>0.13195243906860502</v>
      </c>
      <c r="I35" s="17">
        <f>'Alloc Amt'!I35/'Alloc Amt'!$E35</f>
        <v>6.9330167177492394E-2</v>
      </c>
      <c r="J35" s="17">
        <f>'Alloc Amt'!J35/'Alloc Amt'!$E35</f>
        <v>4.8976398735908921E-2</v>
      </c>
      <c r="K35" s="17">
        <f>'Alloc Amt'!K35/'Alloc Amt'!$E35</f>
        <v>1.6737343727032755E-6</v>
      </c>
      <c r="L35" s="17">
        <f>'Alloc Amt'!L35/'Alloc Amt'!$E35</f>
        <v>0</v>
      </c>
      <c r="M35" s="17">
        <f>'Alloc Amt'!M35/'Alloc Amt'!$E35</f>
        <v>1.2623042503619774E-2</v>
      </c>
      <c r="N35" s="17">
        <f>'Alloc Amt'!N35/'Alloc Amt'!$E35</f>
        <v>1.6635211493138298E-2</v>
      </c>
      <c r="O35" s="17">
        <f>'Alloc Amt'!O35/'Alloc Amt'!$E35</f>
        <v>6.0212444721210061E-2</v>
      </c>
      <c r="P35" s="17">
        <f>'Alloc Amt'!P35/'Alloc Amt'!$E35</f>
        <v>1.9268931309528894E-3</v>
      </c>
      <c r="Q35" s="17">
        <f>'Alloc Amt'!Q35/'Alloc Amt'!$E35</f>
        <v>3.4151982572964507E-4</v>
      </c>
    </row>
    <row r="36" spans="2:17" x14ac:dyDescent="0.25">
      <c r="B36" s="16" t="str">
        <f>'Alloc Amt'!B36</f>
        <v>4 CP Winter Peak - No Interruptibles or Transportation</v>
      </c>
      <c r="C36" s="16" t="str">
        <f>'Alloc Amt'!C36</f>
        <v>DEM_2B</v>
      </c>
      <c r="D36" s="16">
        <f>'Alloc Amt'!D36</f>
        <v>30</v>
      </c>
      <c r="E36" s="17">
        <f t="shared" si="0"/>
        <v>1</v>
      </c>
      <c r="F36" s="17">
        <f>'Alloc Amt'!F36/'Alloc Amt'!$E36</f>
        <v>0.5767251762489326</v>
      </c>
      <c r="G36" s="17">
        <f>'Alloc Amt'!G36/'Alloc Amt'!$E36</f>
        <v>0.13296571521913858</v>
      </c>
      <c r="H36" s="17">
        <f>'Alloc Amt'!H36/'Alloc Amt'!$E36</f>
        <v>0.14231825878845128</v>
      </c>
      <c r="I36" s="17">
        <f>'Alloc Amt'!I36/'Alloc Amt'!$E36</f>
        <v>7.4776553914876143E-2</v>
      </c>
      <c r="J36" s="17">
        <f>'Alloc Amt'!J36/'Alloc Amt'!$E36</f>
        <v>5.2823849555365038E-2</v>
      </c>
      <c r="K36" s="17">
        <f>'Alloc Amt'!K36/'Alloc Amt'!$E36</f>
        <v>1.8052183292622876E-6</v>
      </c>
      <c r="L36" s="17">
        <f>'Alloc Amt'!L36/'Alloc Amt'!$E36</f>
        <v>0</v>
      </c>
      <c r="M36" s="17">
        <f>'Alloc Amt'!M36/'Alloc Amt'!$E36</f>
        <v>0</v>
      </c>
      <c r="N36" s="17">
        <f>'Alloc Amt'!N36/'Alloc Amt'!$E36</f>
        <v>1.7942027832090035E-2</v>
      </c>
      <c r="O36" s="17">
        <f>'Alloc Amt'!O36/'Alloc Amt'!$E36</f>
        <v>0</v>
      </c>
      <c r="P36" s="17">
        <f>'Alloc Amt'!P36/'Alloc Amt'!$E36</f>
        <v>2.0782645414084621E-3</v>
      </c>
      <c r="Q36" s="17">
        <f>'Alloc Amt'!Q36/'Alloc Amt'!$E36</f>
        <v>3.6834868140866908E-4</v>
      </c>
    </row>
    <row r="37" spans="2:17" x14ac:dyDescent="0.25">
      <c r="B37" s="16" t="str">
        <f>'Alloc Amt'!B37</f>
        <v>Direct Assign Substation Ease - Accum Depr</v>
      </c>
      <c r="C37" s="16" t="str">
        <f>'Alloc Amt'!C37</f>
        <v>DIR108.360</v>
      </c>
      <c r="D37" s="16">
        <f>'Alloc Amt'!D37</f>
        <v>31</v>
      </c>
      <c r="E37" s="17">
        <f t="shared" si="0"/>
        <v>1</v>
      </c>
      <c r="F37" s="17">
        <f>'Alloc Amt'!F37/'Alloc Amt'!$E37</f>
        <v>0</v>
      </c>
      <c r="G37" s="17">
        <f>'Alloc Amt'!G37/'Alloc Amt'!$E37</f>
        <v>0</v>
      </c>
      <c r="H37" s="17">
        <f>'Alloc Amt'!H37/'Alloc Amt'!$E37</f>
        <v>0</v>
      </c>
      <c r="I37" s="17">
        <f>'Alloc Amt'!I37/'Alloc Amt'!$E37</f>
        <v>0</v>
      </c>
      <c r="J37" s="17">
        <f>'Alloc Amt'!J37/'Alloc Amt'!$E37</f>
        <v>0</v>
      </c>
      <c r="K37" s="17">
        <f>'Alloc Amt'!K37/'Alloc Amt'!$E37</f>
        <v>0</v>
      </c>
      <c r="L37" s="17">
        <f>'Alloc Amt'!L37/'Alloc Amt'!$E37</f>
        <v>0</v>
      </c>
      <c r="M37" s="17">
        <f>'Alloc Amt'!M37/'Alloc Amt'!$E37</f>
        <v>0</v>
      </c>
      <c r="N37" s="17">
        <f>'Alloc Amt'!N37/'Alloc Amt'!$E37</f>
        <v>1</v>
      </c>
      <c r="O37" s="17">
        <f>'Alloc Amt'!O37/'Alloc Amt'!$E37</f>
        <v>0</v>
      </c>
      <c r="P37" s="17">
        <f>'Alloc Amt'!P37/'Alloc Amt'!$E37</f>
        <v>0</v>
      </c>
      <c r="Q37" s="17">
        <f>'Alloc Amt'!Q37/'Alloc Amt'!$E37</f>
        <v>0</v>
      </c>
    </row>
    <row r="38" spans="2:17" x14ac:dyDescent="0.25">
      <c r="B38" s="16" t="str">
        <f>'Alloc Amt'!B38</f>
        <v>Direct Assign Substation Structures - Accum Depr</v>
      </c>
      <c r="C38" s="16" t="str">
        <f>'Alloc Amt'!C38</f>
        <v>DIR108.361</v>
      </c>
      <c r="D38" s="16">
        <f>'Alloc Amt'!D38</f>
        <v>32</v>
      </c>
      <c r="E38" s="17">
        <f t="shared" si="0"/>
        <v>1</v>
      </c>
      <c r="F38" s="17">
        <f>'Alloc Amt'!F38/'Alloc Amt'!$E38</f>
        <v>0</v>
      </c>
      <c r="G38" s="17">
        <f>'Alloc Amt'!G38/'Alloc Amt'!$E38</f>
        <v>0</v>
      </c>
      <c r="H38" s="17">
        <f>'Alloc Amt'!H38/'Alloc Amt'!$E38</f>
        <v>0</v>
      </c>
      <c r="I38" s="17">
        <f>'Alloc Amt'!I38/'Alloc Amt'!$E38</f>
        <v>0</v>
      </c>
      <c r="J38" s="17">
        <f>'Alloc Amt'!J38/'Alloc Amt'!$E38</f>
        <v>4.6886941041312587E-2</v>
      </c>
      <c r="K38" s="17">
        <f>'Alloc Amt'!K38/'Alloc Amt'!$E38</f>
        <v>0</v>
      </c>
      <c r="L38" s="17">
        <f>'Alloc Amt'!L38/'Alloc Amt'!$E38</f>
        <v>0</v>
      </c>
      <c r="M38" s="17">
        <f>'Alloc Amt'!M38/'Alloc Amt'!$E38</f>
        <v>0.27495573142717422</v>
      </c>
      <c r="N38" s="17">
        <f>'Alloc Amt'!N38/'Alloc Amt'!$E38</f>
        <v>0.24760512623863282</v>
      </c>
      <c r="O38" s="17">
        <f>'Alloc Amt'!O38/'Alloc Amt'!$E38</f>
        <v>0.43055220129288047</v>
      </c>
      <c r="P38" s="17">
        <f>'Alloc Amt'!P38/'Alloc Amt'!$E38</f>
        <v>0</v>
      </c>
      <c r="Q38" s="17">
        <f>'Alloc Amt'!Q38/'Alloc Amt'!$E38</f>
        <v>0</v>
      </c>
    </row>
    <row r="39" spans="2:17" x14ac:dyDescent="0.25">
      <c r="B39" s="16" t="str">
        <f>'Alloc Amt'!B39</f>
        <v>Direct Assign Substation Equipment - Accum Depr</v>
      </c>
      <c r="C39" s="16" t="str">
        <f>'Alloc Amt'!C39</f>
        <v>DIR108.362</v>
      </c>
      <c r="D39" s="16">
        <f>'Alloc Amt'!D39</f>
        <v>33</v>
      </c>
      <c r="E39" s="17">
        <f t="shared" si="0"/>
        <v>1</v>
      </c>
      <c r="F39" s="17">
        <f>'Alloc Amt'!F39/'Alloc Amt'!$E39</f>
        <v>0</v>
      </c>
      <c r="G39" s="17">
        <f>'Alloc Amt'!G39/'Alloc Amt'!$E39</f>
        <v>0</v>
      </c>
      <c r="H39" s="17">
        <f>'Alloc Amt'!H39/'Alloc Amt'!$E39</f>
        <v>0</v>
      </c>
      <c r="I39" s="17">
        <f>'Alloc Amt'!I39/'Alloc Amt'!$E39</f>
        <v>0</v>
      </c>
      <c r="J39" s="17">
        <f>'Alloc Amt'!J39/'Alloc Amt'!$E39</f>
        <v>6.0319201913891354E-2</v>
      </c>
      <c r="K39" s="17">
        <f>'Alloc Amt'!K39/'Alloc Amt'!$E39</f>
        <v>0</v>
      </c>
      <c r="L39" s="17">
        <f>'Alloc Amt'!L39/'Alloc Amt'!$E39</f>
        <v>0</v>
      </c>
      <c r="M39" s="17">
        <f>'Alloc Amt'!M39/'Alloc Amt'!$E39</f>
        <v>0.26889972902347176</v>
      </c>
      <c r="N39" s="17">
        <f>'Alloc Amt'!N39/'Alloc Amt'!$E39</f>
        <v>0.38043485936098576</v>
      </c>
      <c r="O39" s="17">
        <f>'Alloc Amt'!O39/'Alloc Amt'!$E39</f>
        <v>0.29034620970165109</v>
      </c>
      <c r="P39" s="17">
        <f>'Alloc Amt'!P39/'Alloc Amt'!$E39</f>
        <v>0</v>
      </c>
      <c r="Q39" s="17">
        <f>'Alloc Amt'!Q39/'Alloc Amt'!$E39</f>
        <v>0</v>
      </c>
    </row>
    <row r="40" spans="2:17" x14ac:dyDescent="0.25">
      <c r="B40" s="16" t="str">
        <f>'Alloc Amt'!B40</f>
        <v>Direct Assign OH Dist Lines - Accum Depr</v>
      </c>
      <c r="C40" s="16" t="str">
        <f>'Alloc Amt'!C40</f>
        <v>DIR108.364</v>
      </c>
      <c r="D40" s="16">
        <f>'Alloc Amt'!D40</f>
        <v>34</v>
      </c>
      <c r="E40" s="17">
        <f t="shared" si="0"/>
        <v>1</v>
      </c>
      <c r="F40" s="17">
        <f>'Alloc Amt'!F40/'Alloc Amt'!$E40</f>
        <v>0</v>
      </c>
      <c r="G40" s="17">
        <f>'Alloc Amt'!G40/'Alloc Amt'!$E40</f>
        <v>0</v>
      </c>
      <c r="H40" s="17">
        <f>'Alloc Amt'!H40/'Alloc Amt'!$E40</f>
        <v>0</v>
      </c>
      <c r="I40" s="17">
        <f>'Alloc Amt'!I40/'Alloc Amt'!$E40</f>
        <v>0</v>
      </c>
      <c r="J40" s="17">
        <f>'Alloc Amt'!J40/'Alloc Amt'!$E40</f>
        <v>0</v>
      </c>
      <c r="K40" s="17">
        <f>'Alloc Amt'!K40/'Alloc Amt'!$E40</f>
        <v>0</v>
      </c>
      <c r="L40" s="17">
        <f>'Alloc Amt'!L40/'Alloc Amt'!$E40</f>
        <v>0</v>
      </c>
      <c r="M40" s="17">
        <f>'Alloc Amt'!M40/'Alloc Amt'!$E40</f>
        <v>1</v>
      </c>
      <c r="N40" s="17">
        <f>'Alloc Amt'!N40/'Alloc Amt'!$E40</f>
        <v>0</v>
      </c>
      <c r="O40" s="17">
        <f>'Alloc Amt'!O40/'Alloc Amt'!$E40</f>
        <v>0</v>
      </c>
      <c r="P40" s="17">
        <f>'Alloc Amt'!P40/'Alloc Amt'!$E40</f>
        <v>0</v>
      </c>
      <c r="Q40" s="17">
        <f>'Alloc Amt'!Q40/'Alloc Amt'!$E40</f>
        <v>0</v>
      </c>
    </row>
    <row r="41" spans="2:17" x14ac:dyDescent="0.25">
      <c r="B41" s="16" t="str">
        <f>'Alloc Amt'!B41</f>
        <v>Direct Assign UG Dist Lines</v>
      </c>
      <c r="C41" s="16" t="str">
        <f>'Alloc Amt'!C41</f>
        <v>DIR108.366</v>
      </c>
      <c r="D41" s="16">
        <f>'Alloc Amt'!D41</f>
        <v>35</v>
      </c>
      <c r="E41" s="17">
        <f t="shared" si="0"/>
        <v>1</v>
      </c>
      <c r="F41" s="17">
        <f>'Alloc Amt'!F41/'Alloc Amt'!$E41</f>
        <v>0</v>
      </c>
      <c r="G41" s="17">
        <f>'Alloc Amt'!G41/'Alloc Amt'!$E41</f>
        <v>0</v>
      </c>
      <c r="H41" s="17">
        <f>'Alloc Amt'!H41/'Alloc Amt'!$E41</f>
        <v>0</v>
      </c>
      <c r="I41" s="17">
        <f>'Alloc Amt'!I41/'Alloc Amt'!$E41</f>
        <v>0</v>
      </c>
      <c r="J41" s="17">
        <f>'Alloc Amt'!J41/'Alloc Amt'!$E41</f>
        <v>0</v>
      </c>
      <c r="K41" s="17">
        <f>'Alloc Amt'!K41/'Alloc Amt'!$E41</f>
        <v>0</v>
      </c>
      <c r="L41" s="17">
        <f>'Alloc Amt'!L41/'Alloc Amt'!$E41</f>
        <v>0</v>
      </c>
      <c r="M41" s="17">
        <f>'Alloc Amt'!M41/'Alloc Amt'!$E41</f>
        <v>0.88018848471317346</v>
      </c>
      <c r="N41" s="17">
        <f>'Alloc Amt'!N41/'Alloc Amt'!$E41</f>
        <v>0.11829018331685999</v>
      </c>
      <c r="O41" s="17">
        <f>'Alloc Amt'!O41/'Alloc Amt'!$E41</f>
        <v>1.5213319699665733E-3</v>
      </c>
      <c r="P41" s="17">
        <f>'Alloc Amt'!P41/'Alloc Amt'!$E41</f>
        <v>0</v>
      </c>
      <c r="Q41" s="17">
        <f>'Alloc Amt'!Q41/'Alloc Amt'!$E41</f>
        <v>0</v>
      </c>
    </row>
    <row r="42" spans="2:17" x14ac:dyDescent="0.25">
      <c r="B42" s="16" t="str">
        <f>'Alloc Amt'!B42</f>
        <v>Direct Assign Substation Land</v>
      </c>
      <c r="C42" s="16" t="str">
        <f>'Alloc Amt'!C42</f>
        <v>DIR360.01</v>
      </c>
      <c r="D42" s="16">
        <f>'Alloc Amt'!D42</f>
        <v>36</v>
      </c>
      <c r="E42" s="17">
        <f t="shared" si="0"/>
        <v>0.99999999999999989</v>
      </c>
      <c r="F42" s="17">
        <f>'Alloc Amt'!F42/'Alloc Amt'!$E42</f>
        <v>0</v>
      </c>
      <c r="G42" s="17">
        <f>'Alloc Amt'!G42/'Alloc Amt'!$E42</f>
        <v>0</v>
      </c>
      <c r="H42" s="17">
        <f>'Alloc Amt'!H42/'Alloc Amt'!$E42</f>
        <v>0</v>
      </c>
      <c r="I42" s="17">
        <f>'Alloc Amt'!I42/'Alloc Amt'!$E42</f>
        <v>0</v>
      </c>
      <c r="J42" s="17">
        <f>'Alloc Amt'!J42/'Alloc Amt'!$E42</f>
        <v>0</v>
      </c>
      <c r="K42" s="17">
        <f>'Alloc Amt'!K42/'Alloc Amt'!$E42</f>
        <v>0</v>
      </c>
      <c r="L42" s="17">
        <f>'Alloc Amt'!L42/'Alloc Amt'!$E42</f>
        <v>0</v>
      </c>
      <c r="M42" s="17">
        <f>'Alloc Amt'!M42/'Alloc Amt'!$E42</f>
        <v>0.99635135237631256</v>
      </c>
      <c r="N42" s="17">
        <f>'Alloc Amt'!N42/'Alloc Amt'!$E42</f>
        <v>3.6486476236873761E-3</v>
      </c>
      <c r="O42" s="17">
        <f>'Alloc Amt'!O42/'Alloc Amt'!$E42</f>
        <v>0</v>
      </c>
      <c r="P42" s="17">
        <f>'Alloc Amt'!P42/'Alloc Amt'!$E42</f>
        <v>0</v>
      </c>
      <c r="Q42" s="17">
        <f>'Alloc Amt'!Q42/'Alloc Amt'!$E42</f>
        <v>0</v>
      </c>
    </row>
    <row r="43" spans="2:17" x14ac:dyDescent="0.25">
      <c r="B43" s="16" t="str">
        <f>'Alloc Amt'!B43</f>
        <v>Direct Assign Substation Structures</v>
      </c>
      <c r="C43" s="16" t="str">
        <f>'Alloc Amt'!C43</f>
        <v>DIR361.01</v>
      </c>
      <c r="D43" s="16">
        <f>'Alloc Amt'!D43</f>
        <v>37</v>
      </c>
      <c r="E43" s="17">
        <f t="shared" si="0"/>
        <v>1</v>
      </c>
      <c r="F43" s="17">
        <f>'Alloc Amt'!F43/'Alloc Amt'!$E43</f>
        <v>0</v>
      </c>
      <c r="G43" s="17">
        <f>'Alloc Amt'!G43/'Alloc Amt'!$E43</f>
        <v>0</v>
      </c>
      <c r="H43" s="17">
        <f>'Alloc Amt'!H43/'Alloc Amt'!$E43</f>
        <v>0</v>
      </c>
      <c r="I43" s="17">
        <f>'Alloc Amt'!I43/'Alloc Amt'!$E43</f>
        <v>0</v>
      </c>
      <c r="J43" s="17">
        <f>'Alloc Amt'!J43/'Alloc Amt'!$E43</f>
        <v>0</v>
      </c>
      <c r="K43" s="17">
        <f>'Alloc Amt'!K43/'Alloc Amt'!$E43</f>
        <v>0</v>
      </c>
      <c r="L43" s="17">
        <f>'Alloc Amt'!L43/'Alloc Amt'!$E43</f>
        <v>0</v>
      </c>
      <c r="M43" s="17">
        <f>'Alloc Amt'!M43/'Alloc Amt'!$E43</f>
        <v>0.55038170402135667</v>
      </c>
      <c r="N43" s="17">
        <f>'Alloc Amt'!N43/'Alloc Amt'!$E43</f>
        <v>0.20574785372242668</v>
      </c>
      <c r="O43" s="17">
        <f>'Alloc Amt'!O43/'Alloc Amt'!$E43</f>
        <v>0.24387044225621665</v>
      </c>
      <c r="P43" s="17">
        <f>'Alloc Amt'!P43/'Alloc Amt'!$E43</f>
        <v>0</v>
      </c>
      <c r="Q43" s="17">
        <f>'Alloc Amt'!Q43/'Alloc Amt'!$E43</f>
        <v>0</v>
      </c>
    </row>
    <row r="44" spans="2:17" x14ac:dyDescent="0.25">
      <c r="B44" s="16" t="str">
        <f>'Alloc Amt'!B44</f>
        <v>Direct Assign Substation Equipment</v>
      </c>
      <c r="C44" s="16" t="str">
        <f>'Alloc Amt'!C44</f>
        <v>DIR362.01</v>
      </c>
      <c r="D44" s="16">
        <f>'Alloc Amt'!D44</f>
        <v>38</v>
      </c>
      <c r="E44" s="17">
        <f t="shared" si="0"/>
        <v>1</v>
      </c>
      <c r="F44" s="17">
        <f>'Alloc Amt'!F44/'Alloc Amt'!$E44</f>
        <v>0</v>
      </c>
      <c r="G44" s="17">
        <f>'Alloc Amt'!G44/'Alloc Amt'!$E44</f>
        <v>0</v>
      </c>
      <c r="H44" s="17">
        <f>'Alloc Amt'!H44/'Alloc Amt'!$E44</f>
        <v>0</v>
      </c>
      <c r="I44" s="17">
        <f>'Alloc Amt'!I44/'Alloc Amt'!$E44</f>
        <v>0</v>
      </c>
      <c r="J44" s="17">
        <f>'Alloc Amt'!J44/'Alloc Amt'!$E44</f>
        <v>1.9583659032658348E-2</v>
      </c>
      <c r="K44" s="17">
        <f>'Alloc Amt'!K44/'Alloc Amt'!$E44</f>
        <v>0</v>
      </c>
      <c r="L44" s="17">
        <f>'Alloc Amt'!L44/'Alloc Amt'!$E44</f>
        <v>0</v>
      </c>
      <c r="M44" s="17">
        <f>'Alloc Amt'!M44/'Alloc Amt'!$E44</f>
        <v>0.45345524653613295</v>
      </c>
      <c r="N44" s="17">
        <f>'Alloc Amt'!N44/'Alloc Amt'!$E44</f>
        <v>0.36828954048099954</v>
      </c>
      <c r="O44" s="17">
        <f>'Alloc Amt'!O44/'Alloc Amt'!$E44</f>
        <v>0.1586715539502091</v>
      </c>
      <c r="P44" s="17">
        <f>'Alloc Amt'!P44/'Alloc Amt'!$E44</f>
        <v>0</v>
      </c>
      <c r="Q44" s="17">
        <f>'Alloc Amt'!Q44/'Alloc Amt'!$E44</f>
        <v>0</v>
      </c>
    </row>
    <row r="45" spans="2:17" x14ac:dyDescent="0.25">
      <c r="B45" s="16" t="str">
        <f>'Alloc Amt'!B45</f>
        <v>Direct Assign OH Dist Lines</v>
      </c>
      <c r="C45" s="16" t="str">
        <f>'Alloc Amt'!C45</f>
        <v>DIR364.01</v>
      </c>
      <c r="D45" s="16">
        <f>'Alloc Amt'!D45</f>
        <v>39</v>
      </c>
      <c r="E45" s="17">
        <f t="shared" si="0"/>
        <v>1</v>
      </c>
      <c r="F45" s="17">
        <f>'Alloc Amt'!F45/'Alloc Amt'!$E45</f>
        <v>0</v>
      </c>
      <c r="G45" s="17">
        <f>'Alloc Amt'!G45/'Alloc Amt'!$E45</f>
        <v>0</v>
      </c>
      <c r="H45" s="17">
        <f>'Alloc Amt'!H45/'Alloc Amt'!$E45</f>
        <v>0</v>
      </c>
      <c r="I45" s="17">
        <f>'Alloc Amt'!I45/'Alloc Amt'!$E45</f>
        <v>0</v>
      </c>
      <c r="J45" s="17">
        <f>'Alloc Amt'!J45/'Alloc Amt'!$E45</f>
        <v>0</v>
      </c>
      <c r="K45" s="17">
        <f>'Alloc Amt'!K45/'Alloc Amt'!$E45</f>
        <v>0</v>
      </c>
      <c r="L45" s="17">
        <f>'Alloc Amt'!L45/'Alloc Amt'!$E45</f>
        <v>0</v>
      </c>
      <c r="M45" s="17">
        <f>'Alloc Amt'!M45/'Alloc Amt'!$E45</f>
        <v>1</v>
      </c>
      <c r="N45" s="17">
        <f>'Alloc Amt'!N45/'Alloc Amt'!$E45</f>
        <v>0</v>
      </c>
      <c r="O45" s="17">
        <f>'Alloc Amt'!O45/'Alloc Amt'!$E45</f>
        <v>0</v>
      </c>
      <c r="P45" s="17">
        <f>'Alloc Amt'!P45/'Alloc Amt'!$E45</f>
        <v>0</v>
      </c>
      <c r="Q45" s="17">
        <f>'Alloc Amt'!Q45/'Alloc Amt'!$E45</f>
        <v>0</v>
      </c>
    </row>
    <row r="46" spans="2:17" x14ac:dyDescent="0.25">
      <c r="B46" s="16" t="str">
        <f>'Alloc Amt'!B46</f>
        <v>Direct Assign UG Dist Lines</v>
      </c>
      <c r="C46" s="16" t="str">
        <f>'Alloc Amt'!C46</f>
        <v>DIR366.01</v>
      </c>
      <c r="D46" s="16">
        <f>'Alloc Amt'!D46</f>
        <v>40</v>
      </c>
      <c r="E46" s="17">
        <f t="shared" si="0"/>
        <v>0.99999999999999989</v>
      </c>
      <c r="F46" s="17">
        <f>'Alloc Amt'!F46/'Alloc Amt'!$E46</f>
        <v>0</v>
      </c>
      <c r="G46" s="17">
        <f>'Alloc Amt'!G46/'Alloc Amt'!$E46</f>
        <v>0</v>
      </c>
      <c r="H46" s="17">
        <f>'Alloc Amt'!H46/'Alloc Amt'!$E46</f>
        <v>0</v>
      </c>
      <c r="I46" s="17">
        <f>'Alloc Amt'!I46/'Alloc Amt'!$E46</f>
        <v>0</v>
      </c>
      <c r="J46" s="17">
        <f>'Alloc Amt'!J46/'Alloc Amt'!$E46</f>
        <v>0</v>
      </c>
      <c r="K46" s="17">
        <f>'Alloc Amt'!K46/'Alloc Amt'!$E46</f>
        <v>0</v>
      </c>
      <c r="L46" s="17">
        <f>'Alloc Amt'!L46/'Alloc Amt'!$E46</f>
        <v>0</v>
      </c>
      <c r="M46" s="17">
        <f>'Alloc Amt'!M46/'Alloc Amt'!$E46</f>
        <v>0.80371890283766845</v>
      </c>
      <c r="N46" s="17">
        <f>'Alloc Amt'!N46/'Alloc Amt'!$E46</f>
        <v>0.1951086056121222</v>
      </c>
      <c r="O46" s="17">
        <f>'Alloc Amt'!O46/'Alloc Amt'!$E46</f>
        <v>1.1724915502092632E-3</v>
      </c>
      <c r="P46" s="17">
        <f>'Alloc Amt'!P46/'Alloc Amt'!$E46</f>
        <v>0</v>
      </c>
      <c r="Q46" s="17">
        <f>'Alloc Amt'!Q46/'Alloc Amt'!$E46</f>
        <v>0</v>
      </c>
    </row>
    <row r="47" spans="2:17" x14ac:dyDescent="0.25">
      <c r="B47" s="16" t="str">
        <f>'Alloc Amt'!B47</f>
        <v>Line Transformers</v>
      </c>
      <c r="C47" s="16" t="str">
        <f>'Alloc Amt'!C47</f>
        <v>DIR368.03</v>
      </c>
      <c r="D47" s="16">
        <f>'Alloc Amt'!D47</f>
        <v>41</v>
      </c>
      <c r="E47" s="17">
        <f t="shared" si="0"/>
        <v>1</v>
      </c>
      <c r="F47" s="17">
        <f>'Alloc Amt'!F47/'Alloc Amt'!$E47</f>
        <v>0</v>
      </c>
      <c r="G47" s="17">
        <f>'Alloc Amt'!G47/'Alloc Amt'!$E47</f>
        <v>0</v>
      </c>
      <c r="H47" s="17">
        <f>'Alloc Amt'!H47/'Alloc Amt'!$E47</f>
        <v>0</v>
      </c>
      <c r="I47" s="17">
        <f>'Alloc Amt'!I47/'Alloc Amt'!$E47</f>
        <v>0</v>
      </c>
      <c r="J47" s="17">
        <f>'Alloc Amt'!J47/'Alloc Amt'!$E47</f>
        <v>0.33092018566195119</v>
      </c>
      <c r="K47" s="17">
        <f>'Alloc Amt'!K47/'Alloc Amt'!$E47</f>
        <v>0</v>
      </c>
      <c r="L47" s="17">
        <f>'Alloc Amt'!L47/'Alloc Amt'!$E47</f>
        <v>1.8965522328649013E-2</v>
      </c>
      <c r="M47" s="17">
        <f>'Alloc Amt'!M47/'Alloc Amt'!$E47</f>
        <v>0.64232845664819072</v>
      </c>
      <c r="N47" s="17">
        <f>'Alloc Amt'!N47/'Alloc Amt'!$E47</f>
        <v>0</v>
      </c>
      <c r="O47" s="17">
        <f>'Alloc Amt'!O47/'Alloc Amt'!$E47</f>
        <v>0</v>
      </c>
      <c r="P47" s="17">
        <f>'Alloc Amt'!P47/'Alloc Amt'!$E47</f>
        <v>0</v>
      </c>
      <c r="Q47" s="17">
        <f>'Alloc Amt'!Q47/'Alloc Amt'!$E47</f>
        <v>7.7858353612091195E-3</v>
      </c>
    </row>
    <row r="48" spans="2:17" x14ac:dyDescent="0.25">
      <c r="B48" s="16" t="str">
        <f>'Alloc Amt'!B48</f>
        <v>Allocate Substation Land - 12 NCP</v>
      </c>
      <c r="C48" s="16" t="str">
        <f>'Alloc Amt'!C48</f>
        <v>NCP_360</v>
      </c>
      <c r="D48" s="16">
        <f>'Alloc Amt'!D48</f>
        <v>42</v>
      </c>
      <c r="E48" s="17">
        <f t="shared" si="0"/>
        <v>1</v>
      </c>
      <c r="F48" s="17">
        <f>'Alloc Amt'!F48/'Alloc Amt'!$E48</f>
        <v>0.45386350191334318</v>
      </c>
      <c r="G48" s="17">
        <f>'Alloc Amt'!G48/'Alloc Amt'!$E48</f>
        <v>0.14631471615253269</v>
      </c>
      <c r="H48" s="17">
        <f>'Alloc Amt'!H48/'Alloc Amt'!$E48</f>
        <v>0.19036027100202718</v>
      </c>
      <c r="I48" s="17">
        <f>'Alloc Amt'!I48/'Alloc Amt'!$E48</f>
        <v>0.11187630426084208</v>
      </c>
      <c r="J48" s="17">
        <f>'Alloc Amt'!J48/'Alloc Amt'!$E48</f>
        <v>9.2148778025191558E-2</v>
      </c>
      <c r="K48" s="17">
        <f>'Alloc Amt'!K48/'Alloc Amt'!$E48</f>
        <v>2.0171016944910678E-5</v>
      </c>
      <c r="L48" s="17">
        <f>'Alloc Amt'!L48/'Alloc Amt'!$E48</f>
        <v>4.7108493210432298E-3</v>
      </c>
      <c r="M48" s="17">
        <f>'Alloc Amt'!M48/'Alloc Amt'!$E48</f>
        <v>0</v>
      </c>
      <c r="N48" s="17">
        <f>'Alloc Amt'!N48/'Alloc Amt'!$E48</f>
        <v>0</v>
      </c>
      <c r="O48" s="17">
        <f>'Alloc Amt'!O48/'Alloc Amt'!$E48</f>
        <v>0</v>
      </c>
      <c r="P48" s="17">
        <f>'Alloc Amt'!P48/'Alloc Amt'!$E48</f>
        <v>6.441821404797231E-4</v>
      </c>
      <c r="Q48" s="17">
        <f>'Alloc Amt'!Q48/'Alloc Amt'!$E48</f>
        <v>6.1226167595410694E-5</v>
      </c>
    </row>
    <row r="49" spans="2:17" x14ac:dyDescent="0.25">
      <c r="B49" s="16" t="str">
        <f>'Alloc Amt'!B49</f>
        <v>Allocate Substation Structures - 12 NCP</v>
      </c>
      <c r="C49" s="16" t="str">
        <f>'Alloc Amt'!C49</f>
        <v>NCP_361</v>
      </c>
      <c r="D49" s="16">
        <f>'Alloc Amt'!D49</f>
        <v>43</v>
      </c>
      <c r="E49" s="17">
        <f t="shared" si="0"/>
        <v>1</v>
      </c>
      <c r="F49" s="17">
        <f>'Alloc Amt'!F49/'Alloc Amt'!$E49</f>
        <v>0.50907264722268186</v>
      </c>
      <c r="G49" s="17">
        <f>'Alloc Amt'!G49/'Alloc Amt'!$E49</f>
        <v>0.14013969146770699</v>
      </c>
      <c r="H49" s="17">
        <f>'Alloc Amt'!H49/'Alloc Amt'!$E49</f>
        <v>0.17405056842692465</v>
      </c>
      <c r="I49" s="17">
        <f>'Alloc Amt'!I49/'Alloc Amt'!$E49</f>
        <v>0.10122515458047397</v>
      </c>
      <c r="J49" s="17">
        <f>'Alloc Amt'!J49/'Alloc Amt'!$E49</f>
        <v>6.6454320991222671E-2</v>
      </c>
      <c r="K49" s="17">
        <f>'Alloc Amt'!K49/'Alloc Amt'!$E49</f>
        <v>1.4451838165425855E-7</v>
      </c>
      <c r="L49" s="17">
        <f>'Alloc Amt'!L49/'Alloc Amt'!$E49</f>
        <v>8.1701299292510268E-3</v>
      </c>
      <c r="M49" s="17">
        <f>'Alloc Amt'!M49/'Alloc Amt'!$E49</f>
        <v>0</v>
      </c>
      <c r="N49" s="17">
        <f>'Alloc Amt'!N49/'Alloc Amt'!$E49</f>
        <v>0</v>
      </c>
      <c r="O49" s="17">
        <f>'Alloc Amt'!O49/'Alloc Amt'!$E49</f>
        <v>0</v>
      </c>
      <c r="P49" s="17">
        <f>'Alloc Amt'!P49/'Alloc Amt'!$E49</f>
        <v>7.7353463780441896E-4</v>
      </c>
      <c r="Q49" s="17">
        <f>'Alloc Amt'!Q49/'Alloc Amt'!$E49</f>
        <v>1.1380822555272861E-4</v>
      </c>
    </row>
    <row r="50" spans="2:17" x14ac:dyDescent="0.25">
      <c r="B50" s="16" t="str">
        <f>'Alloc Amt'!B50</f>
        <v>Allocate Substation Equipment - 12 NCP</v>
      </c>
      <c r="C50" s="16" t="str">
        <f>'Alloc Amt'!C50</f>
        <v>NCP_362</v>
      </c>
      <c r="D50" s="16">
        <f>'Alloc Amt'!D50</f>
        <v>44</v>
      </c>
      <c r="E50" s="17">
        <f t="shared" si="0"/>
        <v>1</v>
      </c>
      <c r="F50" s="17">
        <f>'Alloc Amt'!F50/'Alloc Amt'!$E50</f>
        <v>0.55819575126506471</v>
      </c>
      <c r="G50" s="17">
        <f>'Alloc Amt'!G50/'Alloc Amt'!$E50</f>
        <v>0.13495719173795892</v>
      </c>
      <c r="H50" s="17">
        <f>'Alloc Amt'!H50/'Alloc Amt'!$E50</f>
        <v>0.14828956361989737</v>
      </c>
      <c r="I50" s="17">
        <f>'Alloc Amt'!I50/'Alloc Amt'!$E50</f>
        <v>7.8903642153771686E-2</v>
      </c>
      <c r="J50" s="17">
        <f>'Alloc Amt'!J50/'Alloc Amt'!$E50</f>
        <v>7.0246777035593982E-2</v>
      </c>
      <c r="K50" s="17">
        <f>'Alloc Amt'!K50/'Alloc Amt'!$E50</f>
        <v>2.5829713162170485E-4</v>
      </c>
      <c r="L50" s="17">
        <f>'Alloc Amt'!L50/'Alloc Amt'!$E50</f>
        <v>8.0670643143086491E-3</v>
      </c>
      <c r="M50" s="17">
        <f>'Alloc Amt'!M50/'Alloc Amt'!$E50</f>
        <v>0</v>
      </c>
      <c r="N50" s="17">
        <f>'Alloc Amt'!N50/'Alloc Amt'!$E50</f>
        <v>0</v>
      </c>
      <c r="O50" s="17">
        <f>'Alloc Amt'!O50/'Alloc Amt'!$E50</f>
        <v>0</v>
      </c>
      <c r="P50" s="17">
        <f>'Alloc Amt'!P50/'Alloc Amt'!$E50</f>
        <v>8.0672304033179495E-4</v>
      </c>
      <c r="Q50" s="17">
        <f>'Alloc Amt'!Q50/'Alloc Amt'!$E50</f>
        <v>2.74989701451172E-4</v>
      </c>
    </row>
    <row r="51" spans="2:17" x14ac:dyDescent="0.25">
      <c r="B51" s="16" t="str">
        <f>'Alloc Amt'!B51</f>
        <v>Allocate Overhead Lines - 12 NCP</v>
      </c>
      <c r="C51" s="16" t="str">
        <f>'Alloc Amt'!C51</f>
        <v>OH_NCP</v>
      </c>
      <c r="D51" s="16">
        <f>'Alloc Amt'!D51</f>
        <v>45</v>
      </c>
      <c r="E51" s="17">
        <f t="shared" si="0"/>
        <v>0.99999999999999967</v>
      </c>
      <c r="F51" s="17">
        <f>'Alloc Amt'!F51/'Alloc Amt'!$E51</f>
        <v>0.68921305112937814</v>
      </c>
      <c r="G51" s="17">
        <f>'Alloc Amt'!G51/'Alloc Amt'!$E51</f>
        <v>0.1259311043077887</v>
      </c>
      <c r="H51" s="17">
        <f>'Alloc Amt'!H51/'Alloc Amt'!$E51</f>
        <v>9.7902554460059923E-2</v>
      </c>
      <c r="I51" s="17">
        <f>'Alloc Amt'!I51/'Alloc Amt'!$E51</f>
        <v>3.8728716180925514E-2</v>
      </c>
      <c r="J51" s="17">
        <f>'Alloc Amt'!J51/'Alloc Amt'!$E51</f>
        <v>3.6251797925254514E-2</v>
      </c>
      <c r="K51" s="17">
        <f>'Alloc Amt'!K51/'Alloc Amt'!$E51</f>
        <v>9.0800247490940042E-4</v>
      </c>
      <c r="L51" s="17">
        <f>'Alloc Amt'!L51/'Alloc Amt'!$E51</f>
        <v>9.7690620254079971E-3</v>
      </c>
      <c r="M51" s="17">
        <f>'Alloc Amt'!M51/'Alloc Amt'!$E51</f>
        <v>0</v>
      </c>
      <c r="N51" s="17">
        <f>'Alloc Amt'!N51/'Alloc Amt'!$E51</f>
        <v>0</v>
      </c>
      <c r="O51" s="17">
        <f>'Alloc Amt'!O51/'Alloc Amt'!$E51</f>
        <v>0</v>
      </c>
      <c r="P51" s="17">
        <f>'Alloc Amt'!P51/'Alloc Amt'!$E51</f>
        <v>6.0566979244509791E-4</v>
      </c>
      <c r="Q51" s="17">
        <f>'Alloc Amt'!Q51/'Alloc Amt'!$E51</f>
        <v>6.9004170383048463E-4</v>
      </c>
    </row>
    <row r="52" spans="2:17" x14ac:dyDescent="0.25">
      <c r="B52" s="16" t="str">
        <f>'Alloc Amt'!B52</f>
        <v>Allocate Overhead Transformers</v>
      </c>
      <c r="C52" s="16" t="str">
        <f>'Alloc Amt'!C52</f>
        <v>OH_TFMR</v>
      </c>
      <c r="D52" s="16">
        <f>'Alloc Amt'!D52</f>
        <v>46</v>
      </c>
      <c r="E52" s="17">
        <f t="shared" si="0"/>
        <v>1</v>
      </c>
      <c r="F52" s="17">
        <f>'Alloc Amt'!F52/'Alloc Amt'!$E52</f>
        <v>0.74665324496272123</v>
      </c>
      <c r="G52" s="17">
        <f>'Alloc Amt'!G52/'Alloc Amt'!$E52</f>
        <v>0.12228655259406904</v>
      </c>
      <c r="H52" s="17">
        <f>'Alloc Amt'!H52/'Alloc Amt'!$E52</f>
        <v>1.787760126859388E-2</v>
      </c>
      <c r="I52" s="17">
        <f>'Alloc Amt'!I52/'Alloc Amt'!$E52</f>
        <v>2.0159471823135439E-4</v>
      </c>
      <c r="J52" s="17">
        <f>'Alloc Amt'!J52/'Alloc Amt'!$E52</f>
        <v>0</v>
      </c>
      <c r="K52" s="17">
        <f>'Alloc Amt'!K52/'Alloc Amt'!$E52</f>
        <v>0</v>
      </c>
      <c r="L52" s="17">
        <f>'Alloc Amt'!L52/'Alloc Amt'!$E52</f>
        <v>0</v>
      </c>
      <c r="M52" s="17">
        <f>'Alloc Amt'!M52/'Alloc Amt'!$E52</f>
        <v>0</v>
      </c>
      <c r="N52" s="17">
        <f>'Alloc Amt'!N52/'Alloc Amt'!$E52</f>
        <v>0</v>
      </c>
      <c r="O52" s="17">
        <f>'Alloc Amt'!O52/'Alloc Amt'!$E52</f>
        <v>0</v>
      </c>
      <c r="P52" s="17">
        <f>'Alloc Amt'!P52/'Alloc Amt'!$E52</f>
        <v>0.11298100645638461</v>
      </c>
      <c r="Q52" s="17">
        <f>'Alloc Amt'!Q52/'Alloc Amt'!$E52</f>
        <v>0</v>
      </c>
    </row>
    <row r="53" spans="2:17" x14ac:dyDescent="0.25">
      <c r="B53" s="16" t="str">
        <f>'Alloc Amt'!B53</f>
        <v>Allocate Underground Lines - 12 NCP</v>
      </c>
      <c r="C53" s="16" t="str">
        <f>'Alloc Amt'!C53</f>
        <v>UG_NCP</v>
      </c>
      <c r="D53" s="16">
        <f>'Alloc Amt'!D53</f>
        <v>47</v>
      </c>
      <c r="E53" s="17">
        <f t="shared" si="0"/>
        <v>1</v>
      </c>
      <c r="F53" s="17">
        <f>'Alloc Amt'!F53/'Alloc Amt'!$E53</f>
        <v>0.67299453361154526</v>
      </c>
      <c r="G53" s="17">
        <f>'Alloc Amt'!G53/'Alloc Amt'!$E53</f>
        <v>0.11991939258824369</v>
      </c>
      <c r="H53" s="17">
        <f>'Alloc Amt'!H53/'Alloc Amt'!$E53</f>
        <v>0.11190625421483145</v>
      </c>
      <c r="I53" s="17">
        <f>'Alloc Amt'!I53/'Alloc Amt'!$E53</f>
        <v>4.8586593464135255E-2</v>
      </c>
      <c r="J53" s="17">
        <f>'Alloc Amt'!J53/'Alloc Amt'!$E53</f>
        <v>3.4655831739961764E-2</v>
      </c>
      <c r="K53" s="17">
        <f>'Alloc Amt'!K53/'Alloc Amt'!$E53</f>
        <v>4.1156589417897069E-4</v>
      </c>
      <c r="L53" s="17">
        <f>'Alloc Amt'!L53/'Alloc Amt'!$E53</f>
        <v>1.0790960227858746E-2</v>
      </c>
      <c r="M53" s="17">
        <f>'Alloc Amt'!M53/'Alloc Amt'!$E53</f>
        <v>0</v>
      </c>
      <c r="N53" s="17">
        <f>'Alloc Amt'!N53/'Alloc Amt'!$E53</f>
        <v>0</v>
      </c>
      <c r="O53" s="17">
        <f>'Alloc Amt'!O53/'Alloc Amt'!$E53</f>
        <v>0</v>
      </c>
      <c r="P53" s="17">
        <f>'Alloc Amt'!P53/'Alloc Amt'!$E53</f>
        <v>4.6115214648969005E-4</v>
      </c>
      <c r="Q53" s="17">
        <f>'Alloc Amt'!Q53/'Alloc Amt'!$E53</f>
        <v>2.7371611275517083E-4</v>
      </c>
    </row>
    <row r="54" spans="2:17" x14ac:dyDescent="0.25">
      <c r="B54" s="16" t="str">
        <f>'Alloc Amt'!B54</f>
        <v>Allocate Underground Transformers</v>
      </c>
      <c r="C54" s="16" t="str">
        <f>'Alloc Amt'!C54</f>
        <v>UG_TFMR</v>
      </c>
      <c r="D54" s="16">
        <f>'Alloc Amt'!D54</f>
        <v>48</v>
      </c>
      <c r="E54" s="17">
        <f t="shared" si="0"/>
        <v>1</v>
      </c>
      <c r="F54" s="17">
        <f>'Alloc Amt'!F54/'Alloc Amt'!$E54</f>
        <v>0.79887754674390821</v>
      </c>
      <c r="G54" s="17">
        <f>'Alloc Amt'!G54/'Alloc Amt'!$E54</f>
        <v>0.12350228902203479</v>
      </c>
      <c r="H54" s="17">
        <f>'Alloc Amt'!H54/'Alloc Amt'!$E54</f>
        <v>5.8863543514252464E-2</v>
      </c>
      <c r="I54" s="17">
        <f>'Alloc Amt'!I54/'Alloc Amt'!$E54</f>
        <v>1.6265272745806532E-2</v>
      </c>
      <c r="J54" s="17">
        <f>'Alloc Amt'!J54/'Alloc Amt'!$E54</f>
        <v>0</v>
      </c>
      <c r="K54" s="17">
        <f>'Alloc Amt'!K54/'Alloc Amt'!$E54</f>
        <v>0</v>
      </c>
      <c r="L54" s="17">
        <f>'Alloc Amt'!L54/'Alloc Amt'!$E54</f>
        <v>0</v>
      </c>
      <c r="M54" s="17">
        <f>'Alloc Amt'!M54/'Alloc Amt'!$E54</f>
        <v>0</v>
      </c>
      <c r="N54" s="17">
        <f>'Alloc Amt'!N54/'Alloc Amt'!$E54</f>
        <v>0</v>
      </c>
      <c r="O54" s="17">
        <f>'Alloc Amt'!O54/'Alloc Amt'!$E54</f>
        <v>0</v>
      </c>
      <c r="P54" s="17">
        <f>'Alloc Amt'!P54/'Alloc Amt'!$E54</f>
        <v>2.4913479739980173E-3</v>
      </c>
      <c r="Q54" s="17">
        <f>'Alloc Amt'!Q54/'Alloc Amt'!$E54</f>
        <v>0</v>
      </c>
    </row>
    <row r="55" spans="2:17" x14ac:dyDescent="0.25">
      <c r="B55" s="16" t="str">
        <f>'Alloc Amt'!B55</f>
        <v>Equip. (Transformer &amp; Substation) Rentals</v>
      </c>
      <c r="C55" s="16" t="str">
        <f>'Alloc Amt'!C55</f>
        <v>DIR454.05</v>
      </c>
      <c r="D55" s="16">
        <f>'Alloc Amt'!D55</f>
        <v>49</v>
      </c>
      <c r="E55" s="17">
        <f t="shared" si="0"/>
        <v>1</v>
      </c>
      <c r="F55" s="17">
        <f>'Alloc Amt'!F55/'Alloc Amt'!$E55</f>
        <v>0</v>
      </c>
      <c r="G55" s="17">
        <f>'Alloc Amt'!G55/'Alloc Amt'!$E55</f>
        <v>0</v>
      </c>
      <c r="H55" s="17">
        <f>'Alloc Amt'!H55/'Alloc Amt'!$E55</f>
        <v>0</v>
      </c>
      <c r="I55" s="17">
        <f>'Alloc Amt'!I55/'Alloc Amt'!$E55</f>
        <v>0</v>
      </c>
      <c r="J55" s="17">
        <f>'Alloc Amt'!J55/'Alloc Amt'!$E55</f>
        <v>0.10144294625330887</v>
      </c>
      <c r="K55" s="17">
        <f>'Alloc Amt'!K55/'Alloc Amt'!$E55</f>
        <v>0</v>
      </c>
      <c r="L55" s="17">
        <f>'Alloc Amt'!L55/'Alloc Amt'!$E55</f>
        <v>2.799036703816662E-3</v>
      </c>
      <c r="M55" s="17">
        <f>'Alloc Amt'!M55/'Alloc Amt'!$E55</f>
        <v>1.7590802956872518E-2</v>
      </c>
      <c r="N55" s="17">
        <f>'Alloc Amt'!N55/'Alloc Amt'!$E55</f>
        <v>0.64840571020737992</v>
      </c>
      <c r="O55" s="17">
        <f>'Alloc Amt'!O55/'Alloc Amt'!$E55</f>
        <v>0.22898862239199153</v>
      </c>
      <c r="P55" s="17">
        <f>'Alloc Amt'!P55/'Alloc Amt'!$E55</f>
        <v>0</v>
      </c>
      <c r="Q55" s="17">
        <f>'Alloc Amt'!Q55/'Alloc Amt'!$E55</f>
        <v>7.7288148663056267E-4</v>
      </c>
    </row>
    <row r="56" spans="2:17" x14ac:dyDescent="0.25">
      <c r="B56" s="16" t="str">
        <f>'Alloc Amt'!B56</f>
        <v>BPA Residential Exchange kWh</v>
      </c>
      <c r="C56" s="16" t="str">
        <f>'Alloc Amt'!C56</f>
        <v>BPAX</v>
      </c>
      <c r="D56" s="16">
        <f>'Alloc Amt'!D56</f>
        <v>50</v>
      </c>
      <c r="E56" s="17">
        <f t="shared" si="0"/>
        <v>1.0000000000000002</v>
      </c>
      <c r="F56" s="17">
        <f>'Alloc Amt'!F56/'Alloc Amt'!$E56</f>
        <v>0.95739981183891798</v>
      </c>
      <c r="G56" s="17">
        <f>'Alloc Amt'!G56/'Alloc Amt'!$E56</f>
        <v>2.2868341466137396E-2</v>
      </c>
      <c r="H56" s="17">
        <f>'Alloc Amt'!H56/'Alloc Amt'!$E56</f>
        <v>1.4828277473490617E-2</v>
      </c>
      <c r="I56" s="17">
        <f>'Alloc Amt'!I56/'Alloc Amt'!$E56</f>
        <v>1.53118061956057E-3</v>
      </c>
      <c r="J56" s="17">
        <f>'Alloc Amt'!J56/'Alloc Amt'!$E56</f>
        <v>2.7939624691731232E-3</v>
      </c>
      <c r="K56" s="17">
        <f>'Alloc Amt'!K56/'Alloc Amt'!$E56</f>
        <v>4.053721618877991E-4</v>
      </c>
      <c r="L56" s="17">
        <f>'Alloc Amt'!L56/'Alloc Amt'!$E56</f>
        <v>0</v>
      </c>
      <c r="M56" s="17">
        <f>'Alloc Amt'!M56/'Alloc Amt'!$E56</f>
        <v>0</v>
      </c>
      <c r="N56" s="17">
        <f>'Alloc Amt'!N56/'Alloc Amt'!$E56</f>
        <v>0</v>
      </c>
      <c r="O56" s="17">
        <f>'Alloc Amt'!O56/'Alloc Amt'!$E56</f>
        <v>0</v>
      </c>
      <c r="P56" s="17">
        <f>'Alloc Amt'!P56/'Alloc Amt'!$E56</f>
        <v>1.730539708326799E-4</v>
      </c>
      <c r="Q56" s="17">
        <f>'Alloc Amt'!Q56/'Alloc Amt'!$E56</f>
        <v>0</v>
      </c>
    </row>
    <row r="57" spans="2:17" x14ac:dyDescent="0.25">
      <c r="B57" s="16" t="str">
        <f>'Alloc Amt'!B57</f>
        <v>Annual kWhs</v>
      </c>
      <c r="C57" s="16" t="str">
        <f>'Alloc Amt'!C57</f>
        <v>ENERGY_1</v>
      </c>
      <c r="D57" s="16">
        <f>'Alloc Amt'!D57</f>
        <v>51</v>
      </c>
      <c r="E57" s="17">
        <f t="shared" si="0"/>
        <v>1.0000000000000002</v>
      </c>
      <c r="F57" s="17">
        <f>'Alloc Amt'!F57/'Alloc Amt'!$E57</f>
        <v>0.46946948808579064</v>
      </c>
      <c r="G57" s="17">
        <f>'Alloc Amt'!G57/'Alloc Amt'!$E57</f>
        <v>0.11928668823213764</v>
      </c>
      <c r="H57" s="17">
        <f>'Alloc Amt'!H57/'Alloc Amt'!$E57</f>
        <v>0.13265593226868866</v>
      </c>
      <c r="I57" s="17">
        <f>'Alloc Amt'!I57/'Alloc Amt'!$E57</f>
        <v>8.5611604249118026E-2</v>
      </c>
      <c r="J57" s="17">
        <f>'Alloc Amt'!J57/'Alloc Amt'!$E57</f>
        <v>5.9563656321470794E-2</v>
      </c>
      <c r="K57" s="17">
        <f>'Alloc Amt'!K57/'Alloc Amt'!$E57</f>
        <v>1.8807869934750154E-4</v>
      </c>
      <c r="L57" s="17">
        <f>'Alloc Amt'!L57/'Alloc Amt'!$E57</f>
        <v>5.1908808400267454E-3</v>
      </c>
      <c r="M57" s="17">
        <f>'Alloc Amt'!M57/'Alloc Amt'!$E57</f>
        <v>1.4321216171680274E-2</v>
      </c>
      <c r="N57" s="17">
        <f>'Alloc Amt'!N57/'Alloc Amt'!$E57</f>
        <v>2.5781572231941885E-2</v>
      </c>
      <c r="O57" s="17">
        <f>'Alloc Amt'!O57/'Alloc Amt'!$E57</f>
        <v>8.4522636161368028E-2</v>
      </c>
      <c r="P57" s="17">
        <f>'Alloc Amt'!P57/'Alloc Amt'!$E57</f>
        <v>3.1044209190118507E-3</v>
      </c>
      <c r="Q57" s="17">
        <f>'Alloc Amt'!Q57/'Alloc Amt'!$E57</f>
        <v>3.038258194181609E-4</v>
      </c>
    </row>
    <row r="58" spans="2:17" x14ac:dyDescent="0.25">
      <c r="B58" s="16" t="str">
        <f>'Alloc Amt'!B58</f>
        <v>Energy - NO RETAIL WHEELING</v>
      </c>
      <c r="C58" s="16" t="str">
        <f>'Alloc Amt'!C58</f>
        <v>ENERGY_2</v>
      </c>
      <c r="D58" s="16">
        <f>'Alloc Amt'!D58</f>
        <v>52</v>
      </c>
      <c r="E58" s="17">
        <f t="shared" si="0"/>
        <v>1.0000000000000004</v>
      </c>
      <c r="F58" s="17">
        <f>'Alloc Amt'!F58/'Alloc Amt'!$E58</f>
        <v>0.52096353035067644</v>
      </c>
      <c r="G58" s="17">
        <f>'Alloc Amt'!G58/'Alloc Amt'!$E58</f>
        <v>0.13237072014762916</v>
      </c>
      <c r="H58" s="17">
        <f>'Alloc Amt'!H58/'Alloc Amt'!$E58</f>
        <v>0.14720637773168196</v>
      </c>
      <c r="I58" s="17">
        <f>'Alloc Amt'!I58/'Alloc Amt'!$E58</f>
        <v>9.5001964388482726E-2</v>
      </c>
      <c r="J58" s="17">
        <f>'Alloc Amt'!J58/'Alloc Amt'!$E58</f>
        <v>6.6096931675690307E-2</v>
      </c>
      <c r="K58" s="17">
        <f>'Alloc Amt'!K58/'Alloc Amt'!$E58</f>
        <v>2.0870822424551828E-4</v>
      </c>
      <c r="L58" s="17">
        <f>'Alloc Amt'!L58/'Alloc Amt'!$E58</f>
        <v>5.760245717088738E-3</v>
      </c>
      <c r="M58" s="17">
        <f>'Alloc Amt'!M58/'Alloc Amt'!$E58</f>
        <v>0</v>
      </c>
      <c r="N58" s="17">
        <f>'Alloc Amt'!N58/'Alloc Amt'!$E58</f>
        <v>2.8609439439201616E-2</v>
      </c>
      <c r="O58" s="17">
        <f>'Alloc Amt'!O58/'Alloc Amt'!$E58</f>
        <v>0</v>
      </c>
      <c r="P58" s="17">
        <f>'Alloc Amt'!P58/'Alloc Amt'!$E58</f>
        <v>3.4449311887279929E-3</v>
      </c>
      <c r="Q58" s="17">
        <f>'Alloc Amt'!Q58/'Alloc Amt'!$E58</f>
        <v>3.3715113657577629E-4</v>
      </c>
    </row>
    <row r="59" spans="2:17" x14ac:dyDescent="0.25">
      <c r="B59" s="16"/>
      <c r="C59" s="16" t="str">
        <f>'Alloc Amt'!C59</f>
        <v/>
      </c>
      <c r="D59" s="16">
        <f>'Alloc Amt'!D59</f>
        <v>53</v>
      </c>
      <c r="E59" s="17"/>
      <c r="F59" s="17"/>
      <c r="G59" s="17"/>
      <c r="H59" s="17"/>
      <c r="I59" s="17"/>
      <c r="J59" s="17"/>
      <c r="K59" s="17" t="e">
        <f>'Alloc Amt'!K59/'Alloc Amt'!$E59</f>
        <v>#DIV/0!</v>
      </c>
      <c r="L59" s="17" t="e">
        <f>'Alloc Amt'!L59/'Alloc Amt'!$E59</f>
        <v>#DIV/0!</v>
      </c>
      <c r="M59" s="17"/>
      <c r="N59" s="17"/>
      <c r="O59" s="17"/>
      <c r="P59" s="17"/>
      <c r="Q59" s="17"/>
    </row>
    <row r="60" spans="2:17" x14ac:dyDescent="0.25">
      <c r="B60" s="16" t="str">
        <f>'Alloc Amt'!B60</f>
        <v>Total Struct and Improvements</v>
      </c>
      <c r="C60" s="16" t="str">
        <f>'Alloc Amt'!C60</f>
        <v>D360.T</v>
      </c>
      <c r="D60" s="16">
        <f>'Alloc Amt'!D60</f>
        <v>54</v>
      </c>
      <c r="E60" s="17">
        <f t="shared" si="0"/>
        <v>1</v>
      </c>
      <c r="F60" s="17">
        <f>'Alloc Amt'!F60/'Alloc Amt'!$E60</f>
        <v>0.41509586189218001</v>
      </c>
      <c r="G60" s="17">
        <f>'Alloc Amt'!G60/'Alloc Amt'!$E60</f>
        <v>0.13381695807838143</v>
      </c>
      <c r="H60" s="17">
        <f>'Alloc Amt'!H60/'Alloc Amt'!$E60</f>
        <v>0.174100275586166</v>
      </c>
      <c r="I60" s="17">
        <f>'Alloc Amt'!I60/'Alloc Amt'!$E60</f>
        <v>0.10232017059466648</v>
      </c>
      <c r="J60" s="17">
        <f>'Alloc Amt'!J60/'Alloc Amt'!$E60</f>
        <v>8.4277709653730451E-2</v>
      </c>
      <c r="K60" s="17">
        <f>'Alloc Amt'!K60/'Alloc Amt'!$E60</f>
        <v>1.8448070022577224E-5</v>
      </c>
      <c r="L60" s="17">
        <f>'Alloc Amt'!L60/'Alloc Amt'!$E60</f>
        <v>4.3084628989091709E-3</v>
      </c>
      <c r="M60" s="17">
        <f>'Alloc Amt'!M60/'Alloc Amt'!$E60</f>
        <v>8.5105302366655061E-2</v>
      </c>
      <c r="N60" s="17">
        <f>'Alloc Amt'!N60/'Alloc Amt'!$E60</f>
        <v>3.1165638356659895E-4</v>
      </c>
      <c r="O60" s="17">
        <f>'Alloc Amt'!O60/'Alloc Amt'!$E60</f>
        <v>0</v>
      </c>
      <c r="P60" s="17">
        <f>'Alloc Amt'!P60/'Alloc Amt'!$E60</f>
        <v>5.8915806115873715E-4</v>
      </c>
      <c r="Q60" s="17">
        <f>'Alloc Amt'!Q60/'Alloc Amt'!$E60</f>
        <v>5.5996414563479347E-5</v>
      </c>
    </row>
    <row r="61" spans="2:17" x14ac:dyDescent="0.25">
      <c r="B61" s="16" t="str">
        <f>'Alloc Amt'!B61</f>
        <v>Total Struct and Improvements</v>
      </c>
      <c r="C61" s="16" t="str">
        <f>'Alloc Amt'!C61</f>
        <v>D361.T</v>
      </c>
      <c r="D61" s="16">
        <f>'Alloc Amt'!D61</f>
        <v>55</v>
      </c>
      <c r="E61" s="17">
        <f t="shared" si="0"/>
        <v>0.99999999999999978</v>
      </c>
      <c r="F61" s="17">
        <f>'Alloc Amt'!F61/'Alloc Amt'!$E61</f>
        <v>0.4680858253113081</v>
      </c>
      <c r="G61" s="17">
        <f>'Alloc Amt'!G61/'Alloc Amt'!$E61</f>
        <v>0.12885666416651859</v>
      </c>
      <c r="H61" s="17">
        <f>'Alloc Amt'!H61/'Alloc Amt'!$E61</f>
        <v>0.16003728429035383</v>
      </c>
      <c r="I61" s="17">
        <f>'Alloc Amt'!I61/'Alloc Amt'!$E61</f>
        <v>9.3075242369758934E-2</v>
      </c>
      <c r="J61" s="17">
        <f>'Alloc Amt'!J61/'Alloc Amt'!$E61</f>
        <v>6.1103903060563222E-2</v>
      </c>
      <c r="K61" s="17">
        <f>'Alloc Amt'!K61/'Alloc Amt'!$E61</f>
        <v>1.3288281410982515E-7</v>
      </c>
      <c r="L61" s="17">
        <f>'Alloc Amt'!L61/'Alloc Amt'!$E61</f>
        <v>7.5123305714778002E-3</v>
      </c>
      <c r="M61" s="17">
        <f>'Alloc Amt'!M61/'Alloc Amt'!$E61</f>
        <v>4.4312726305513132E-2</v>
      </c>
      <c r="N61" s="17">
        <f>'Alloc Amt'!N61/'Alloc Amt'!$E61</f>
        <v>1.6565318693069903E-2</v>
      </c>
      <c r="O61" s="17">
        <f>'Alloc Amt'!O61/'Alloc Amt'!$E61</f>
        <v>1.9634671869987963E-2</v>
      </c>
      <c r="P61" s="17">
        <f>'Alloc Amt'!P61/'Alloc Amt'!$E61</f>
        <v>7.1125526252283913E-4</v>
      </c>
      <c r="Q61" s="17">
        <f>'Alloc Amt'!Q61/'Alloc Amt'!$E61</f>
        <v>1.0464521611148729E-4</v>
      </c>
    </row>
    <row r="62" spans="2:17" x14ac:dyDescent="0.25">
      <c r="B62" s="16" t="str">
        <f>'Alloc Amt'!B62</f>
        <v>Total Station Equip</v>
      </c>
      <c r="C62" s="16" t="str">
        <f>'Alloc Amt'!C62</f>
        <v>D362.T</v>
      </c>
      <c r="D62" s="16">
        <f>'Alloc Amt'!D62</f>
        <v>56</v>
      </c>
      <c r="E62" s="17">
        <f t="shared" si="0"/>
        <v>1</v>
      </c>
      <c r="F62" s="17">
        <f>'Alloc Amt'!F62/'Alloc Amt'!$E62</f>
        <v>0.51858841423055357</v>
      </c>
      <c r="G62" s="17">
        <f>'Alloc Amt'!G62/'Alloc Amt'!$E62</f>
        <v>0.12538116940836902</v>
      </c>
      <c r="H62" s="17">
        <f>'Alloc Amt'!H62/'Alloc Amt'!$E62</f>
        <v>0.13776752952758692</v>
      </c>
      <c r="I62" s="17">
        <f>'Alloc Amt'!I62/'Alloc Amt'!$E62</f>
        <v>7.3304955418961912E-2</v>
      </c>
      <c r="J62" s="17">
        <f>'Alloc Amt'!J62/'Alloc Amt'!$E62</f>
        <v>6.6651924897408121E-2</v>
      </c>
      <c r="K62" s="17">
        <f>'Alloc Amt'!K62/'Alloc Amt'!$E62</f>
        <v>2.3996940067068528E-4</v>
      </c>
      <c r="L62" s="17">
        <f>'Alloc Amt'!L62/'Alloc Amt'!$E62</f>
        <v>7.4946577088270258E-3</v>
      </c>
      <c r="M62" s="17">
        <f>'Alloc Amt'!M62/'Alloc Amt'!$E62</f>
        <v>3.2175369910860237E-2</v>
      </c>
      <c r="N62" s="17">
        <f>'Alloc Amt'!N62/'Alloc Amt'!$E62</f>
        <v>2.61323521776314E-2</v>
      </c>
      <c r="O62" s="17">
        <f>'Alloc Amt'!O62/'Alloc Amt'!$E62</f>
        <v>1.125869858531273E-2</v>
      </c>
      <c r="P62" s="17">
        <f>'Alloc Amt'!P62/'Alloc Amt'!$E62</f>
        <v>7.4948120128247883E-4</v>
      </c>
      <c r="Q62" s="17">
        <f>'Alloc Amt'!Q62/'Alloc Amt'!$E62</f>
        <v>2.5547753253603425E-4</v>
      </c>
    </row>
    <row r="63" spans="2:17" x14ac:dyDescent="0.25">
      <c r="B63" s="16" t="str">
        <f>'Alloc Amt'!B63</f>
        <v>Total OVHD Lines</v>
      </c>
      <c r="C63" s="16" t="str">
        <f>'Alloc Amt'!C63</f>
        <v>D364.T</v>
      </c>
      <c r="D63" s="16">
        <f>'Alloc Amt'!D63</f>
        <v>57</v>
      </c>
      <c r="E63" s="17">
        <f t="shared" si="0"/>
        <v>1</v>
      </c>
      <c r="F63" s="17">
        <f>'Alloc Amt'!F63/'Alloc Amt'!$E63</f>
        <v>0.68915445542510678</v>
      </c>
      <c r="G63" s="17">
        <f>'Alloc Amt'!G63/'Alloc Amt'!$E63</f>
        <v>0.12592039786261258</v>
      </c>
      <c r="H63" s="17">
        <f>'Alloc Amt'!H63/'Alloc Amt'!$E63</f>
        <v>9.7894230953824588E-2</v>
      </c>
      <c r="I63" s="17">
        <f>'Alloc Amt'!I63/'Alloc Amt'!$E63</f>
        <v>3.8725423532307748E-2</v>
      </c>
      <c r="J63" s="17">
        <f>'Alloc Amt'!J63/'Alloc Amt'!$E63</f>
        <v>3.6248715859952575E-2</v>
      </c>
      <c r="K63" s="17">
        <f>'Alloc Amt'!K63/'Alloc Amt'!$E63</f>
        <v>9.0792527810587185E-4</v>
      </c>
      <c r="L63" s="17">
        <f>'Alloc Amt'!L63/'Alloc Amt'!$E63</f>
        <v>9.7682314766125121E-3</v>
      </c>
      <c r="M63" s="17">
        <f>'Alloc Amt'!M63/'Alloc Amt'!$E63</f>
        <v>8.5018274357135282E-5</v>
      </c>
      <c r="N63" s="17">
        <f>'Alloc Amt'!N63/'Alloc Amt'!$E63</f>
        <v>0</v>
      </c>
      <c r="O63" s="17">
        <f>'Alloc Amt'!O63/'Alloc Amt'!$E63</f>
        <v>0</v>
      </c>
      <c r="P63" s="17">
        <f>'Alloc Amt'!P63/'Alloc Amt'!$E63</f>
        <v>6.0561829944451404E-4</v>
      </c>
      <c r="Q63" s="17">
        <f>'Alloc Amt'!Q63/'Alloc Amt'!$E63</f>
        <v>6.8998303767559075E-4</v>
      </c>
    </row>
    <row r="64" spans="2:17" x14ac:dyDescent="0.25">
      <c r="B64" s="16" t="str">
        <f>'Alloc Amt'!B64</f>
        <v>Total UNGD Lines</v>
      </c>
      <c r="C64" s="16" t="str">
        <f>'Alloc Amt'!C64</f>
        <v>D366.T</v>
      </c>
      <c r="D64" s="16">
        <f>'Alloc Amt'!D64</f>
        <v>58</v>
      </c>
      <c r="E64" s="17">
        <f t="shared" si="0"/>
        <v>0.99999999999999989</v>
      </c>
      <c r="F64" s="17">
        <f>'Alloc Amt'!F64/'Alloc Amt'!$E64</f>
        <v>0.6618345248286378</v>
      </c>
      <c r="G64" s="17">
        <f>'Alloc Amt'!G64/'Alloc Amt'!$E64</f>
        <v>0.1179308155527901</v>
      </c>
      <c r="H64" s="17">
        <f>'Alloc Amt'!H64/'Alloc Amt'!$E64</f>
        <v>0.11005055596242834</v>
      </c>
      <c r="I64" s="17">
        <f>'Alloc Amt'!I64/'Alloc Amt'!$E64</f>
        <v>4.7780900724134073E-2</v>
      </c>
      <c r="J64" s="17">
        <f>'Alloc Amt'!J64/'Alloc Amt'!$E64</f>
        <v>3.4081147448662343E-2</v>
      </c>
      <c r="K64" s="17">
        <f>'Alloc Amt'!K64/'Alloc Amt'!$E64</f>
        <v>4.0474105569308542E-4</v>
      </c>
      <c r="L64" s="17">
        <f>'Alloc Amt'!L64/'Alloc Amt'!$E64</f>
        <v>1.0612017896377017E-2</v>
      </c>
      <c r="M64" s="17">
        <f>'Alloc Amt'!M64/'Alloc Amt'!$E64</f>
        <v>1.3327760578564132E-2</v>
      </c>
      <c r="N64" s="17">
        <f>'Alloc Amt'!N64/'Alloc Amt'!$E64</f>
        <v>3.2354107552215535E-3</v>
      </c>
      <c r="O64" s="17">
        <f>'Alloc Amt'!O64/'Alloc Amt'!$E64</f>
        <v>1.9442975157615245E-5</v>
      </c>
      <c r="P64" s="17">
        <f>'Alloc Amt'!P64/'Alloc Amt'!$E64</f>
        <v>4.5350503830671017E-4</v>
      </c>
      <c r="Q64" s="17">
        <f>'Alloc Amt'!Q64/'Alloc Amt'!$E64</f>
        <v>2.6917718402720857E-4</v>
      </c>
    </row>
    <row r="65" spans="2:17" x14ac:dyDescent="0.25">
      <c r="B65" s="16" t="str">
        <f>'Alloc Amt'!B65</f>
        <v>Total Transformers</v>
      </c>
      <c r="C65" s="16" t="str">
        <f>'Alloc Amt'!C65</f>
        <v>D368.T</v>
      </c>
      <c r="D65" s="16">
        <f>'Alloc Amt'!D65</f>
        <v>59</v>
      </c>
      <c r="E65" s="17">
        <f t="shared" si="0"/>
        <v>1</v>
      </c>
      <c r="F65" s="17">
        <f>'Alloc Amt'!F65/'Alloc Amt'!$E65</f>
        <v>0.76860895667659923</v>
      </c>
      <c r="G65" s="17">
        <f>'Alloc Amt'!G65/'Alloc Amt'!$E65</f>
        <v>0.12120626823507302</v>
      </c>
      <c r="H65" s="17">
        <f>'Alloc Amt'!H65/'Alloc Amt'!$E65</f>
        <v>4.372656758925398E-2</v>
      </c>
      <c r="I65" s="17">
        <f>'Alloc Amt'!I65/'Alloc Amt'!$E65</f>
        <v>1.0435850275683337E-2</v>
      </c>
      <c r="J65" s="17">
        <f>'Alloc Amt'!J65/'Alloc Amt'!$E65</f>
        <v>5.0200078368246824E-3</v>
      </c>
      <c r="K65" s="17">
        <f>'Alloc Amt'!K65/'Alloc Amt'!$E65</f>
        <v>0</v>
      </c>
      <c r="L65" s="17">
        <f>'Alloc Amt'!L65/'Alloc Amt'!$E65</f>
        <v>2.8770402908134937E-4</v>
      </c>
      <c r="M65" s="17">
        <f>'Alloc Amt'!M65/'Alloc Amt'!$E65</f>
        <v>9.7440229574976001E-3</v>
      </c>
      <c r="N65" s="17">
        <f>'Alloc Amt'!N65/'Alloc Amt'!$E65</f>
        <v>0</v>
      </c>
      <c r="O65" s="17">
        <f>'Alloc Amt'!O65/'Alloc Amt'!$E65</f>
        <v>0</v>
      </c>
      <c r="P65" s="17">
        <f>'Alloc Amt'!P65/'Alloc Amt'!$E65</f>
        <v>4.0852512486409677E-2</v>
      </c>
      <c r="Q65" s="17">
        <f>'Alloc Amt'!Q65/'Alloc Amt'!$E65</f>
        <v>1.1810991357723771E-4</v>
      </c>
    </row>
    <row r="66" spans="2:17" x14ac:dyDescent="0.25">
      <c r="B66" s="16" t="str">
        <f>'Alloc Amt'!B66</f>
        <v>Total Services</v>
      </c>
      <c r="C66" s="16" t="str">
        <f>'Alloc Amt'!C66</f>
        <v>D369.T</v>
      </c>
      <c r="D66" s="16">
        <f>'Alloc Amt'!D66</f>
        <v>60</v>
      </c>
      <c r="E66" s="17">
        <f t="shared" si="0"/>
        <v>0.99999999999999989</v>
      </c>
      <c r="F66" s="17">
        <f>'Alloc Amt'!F66/'Alloc Amt'!$E66</f>
        <v>0.97036166720357897</v>
      </c>
      <c r="G66" s="17">
        <f>'Alloc Amt'!G66/'Alloc Amt'!$E66</f>
        <v>2.852187071103433E-2</v>
      </c>
      <c r="H66" s="17">
        <f>'Alloc Amt'!H66/'Alloc Amt'!$E66</f>
        <v>1.0927859337173638E-3</v>
      </c>
      <c r="I66" s="17">
        <f>'Alloc Amt'!I66/'Alloc Amt'!$E66</f>
        <v>2.3676151669369943E-5</v>
      </c>
      <c r="J66" s="17">
        <f>'Alloc Amt'!J66/'Alloc Amt'!$E66</f>
        <v>0</v>
      </c>
      <c r="K66" s="17">
        <f>'Alloc Amt'!K66/'Alloc Amt'!$E66</f>
        <v>0</v>
      </c>
      <c r="L66" s="17">
        <f>'Alloc Amt'!L66/'Alloc Amt'!$E66</f>
        <v>0</v>
      </c>
      <c r="M66" s="17">
        <f>'Alloc Amt'!M66/'Alloc Amt'!$E66</f>
        <v>0</v>
      </c>
      <c r="N66" s="17">
        <f>'Alloc Amt'!N66/'Alloc Amt'!$E66</f>
        <v>0</v>
      </c>
      <c r="O66" s="17">
        <f>'Alloc Amt'!O66/'Alloc Amt'!$E66</f>
        <v>0</v>
      </c>
      <c r="P66" s="17">
        <f>'Alloc Amt'!P66/'Alloc Amt'!$E66</f>
        <v>0</v>
      </c>
      <c r="Q66" s="17">
        <f>'Alloc Amt'!Q66/'Alloc Amt'!$E66</f>
        <v>0</v>
      </c>
    </row>
    <row r="67" spans="2:17" x14ac:dyDescent="0.25">
      <c r="B67" s="16" t="str">
        <f>'Alloc Amt'!B67</f>
        <v>Total Meters</v>
      </c>
      <c r="C67" s="16" t="str">
        <f>'Alloc Amt'!C67</f>
        <v>D370.T</v>
      </c>
      <c r="D67" s="16">
        <f>'Alloc Amt'!D67</f>
        <v>61</v>
      </c>
      <c r="E67" s="17">
        <f t="shared" si="0"/>
        <v>1</v>
      </c>
      <c r="F67" s="17">
        <f>'Alloc Amt'!F67/'Alloc Amt'!$E67</f>
        <v>0.64922596597539906</v>
      </c>
      <c r="G67" s="17">
        <f>'Alloc Amt'!G67/'Alloc Amt'!$E67</f>
        <v>0.18222827816849618</v>
      </c>
      <c r="H67" s="17">
        <f>'Alloc Amt'!H67/'Alloc Amt'!$E67</f>
        <v>5.3855034276632484E-2</v>
      </c>
      <c r="I67" s="17">
        <f>'Alloc Amt'!I67/'Alloc Amt'!$E67</f>
        <v>6.0528439085588345E-3</v>
      </c>
      <c r="J67" s="17">
        <f>'Alloc Amt'!J67/'Alloc Amt'!$E67</f>
        <v>7.2499760370043104E-2</v>
      </c>
      <c r="K67" s="17">
        <f>'Alloc Amt'!K67/'Alloc Amt'!$E67</f>
        <v>2.3506706645110047E-4</v>
      </c>
      <c r="L67" s="17">
        <f>'Alloc Amt'!L67/'Alloc Amt'!$E67</f>
        <v>2.3430594920694083E-2</v>
      </c>
      <c r="M67" s="17">
        <f>'Alloc Amt'!M67/'Alloc Amt'!$E67</f>
        <v>4.7388718767973573E-3</v>
      </c>
      <c r="N67" s="17">
        <f>'Alloc Amt'!N67/'Alloc Amt'!$E67</f>
        <v>2.9428281467112002E-3</v>
      </c>
      <c r="O67" s="17">
        <f>'Alloc Amt'!O67/'Alloc Amt'!$E67</f>
        <v>4.7379279512920367E-3</v>
      </c>
      <c r="P67" s="17">
        <f>'Alloc Amt'!P67/'Alloc Amt'!$E67</f>
        <v>0</v>
      </c>
      <c r="Q67" s="17">
        <f>'Alloc Amt'!Q67/'Alloc Amt'!$E67</f>
        <v>5.2827338924457138E-5</v>
      </c>
    </row>
    <row r="68" spans="2:17" x14ac:dyDescent="0.25">
      <c r="B68" s="16" t="str">
        <f>'Alloc Amt'!B68</f>
        <v>Adj Total Prod Trans Dist &amp; Cust Exp</v>
      </c>
      <c r="C68" s="16" t="str">
        <f>'Alloc Amt'!C68</f>
        <v>ADJPTDCE.T</v>
      </c>
      <c r="D68" s="16">
        <f>'Alloc Amt'!D68</f>
        <v>62</v>
      </c>
      <c r="E68" s="17">
        <f t="shared" ca="1" si="0"/>
        <v>1.0000000000000004</v>
      </c>
      <c r="F68" s="17">
        <f ca="1">'Alloc Amt'!F68/'Alloc Amt'!$E68</f>
        <v>0.63059270785762522</v>
      </c>
      <c r="G68" s="17">
        <f ca="1">'Alloc Amt'!G68/'Alloc Amt'!$E68</f>
        <v>0.12197847118717009</v>
      </c>
      <c r="H68" s="17">
        <f ca="1">'Alloc Amt'!H68/'Alloc Amt'!$E68</f>
        <v>0.101534583122825</v>
      </c>
      <c r="I68" s="17">
        <f ca="1">'Alloc Amt'!I68/'Alloc Amt'!$E68</f>
        <v>5.8008027324867525E-2</v>
      </c>
      <c r="J68" s="17">
        <f ca="1">'Alloc Amt'!J68/'Alloc Amt'!$E68</f>
        <v>4.5918430612720072E-2</v>
      </c>
      <c r="K68" s="17">
        <f ca="1">'Alloc Amt'!K68/'Alloc Amt'!$E68</f>
        <v>2.7738805127113582E-4</v>
      </c>
      <c r="L68" s="17">
        <f ca="1">'Alloc Amt'!L68/'Alloc Amt'!$E68</f>
        <v>6.0805325684510705E-3</v>
      </c>
      <c r="M68" s="17">
        <f ca="1">'Alloc Amt'!M68/'Alloc Amt'!$E68</f>
        <v>3.2030610763763489E-3</v>
      </c>
      <c r="N68" s="17">
        <f ca="1">'Alloc Amt'!N68/'Alloc Amt'!$E68</f>
        <v>1.4439624939019499E-2</v>
      </c>
      <c r="O68" s="17">
        <f ca="1">'Alloc Amt'!O68/'Alloc Amt'!$E68</f>
        <v>6.7616180063260894E-3</v>
      </c>
      <c r="P68" s="17">
        <f ca="1">'Alloc Amt'!P68/'Alloc Amt'!$E68</f>
        <v>1.0906092850671912E-2</v>
      </c>
      <c r="Q68" s="17">
        <f ca="1">'Alloc Amt'!Q68/'Alloc Amt'!$E68</f>
        <v>2.9946240267638574E-4</v>
      </c>
    </row>
    <row r="69" spans="2:17" x14ac:dyDescent="0.25">
      <c r="B69" s="16" t="str">
        <f>'Alloc Amt'!B69</f>
        <v>Cust Accts Exp - Total</v>
      </c>
      <c r="C69" s="16" t="str">
        <f>'Alloc Amt'!C69</f>
        <v>CAE.T</v>
      </c>
      <c r="D69" s="16">
        <f>'Alloc Amt'!D69</f>
        <v>63</v>
      </c>
      <c r="E69" s="17">
        <f t="shared" si="0"/>
        <v>0.99999999999999989</v>
      </c>
      <c r="F69" s="17">
        <f>'Alloc Amt'!F69/'Alloc Amt'!$E69</f>
        <v>0.86981467817275548</v>
      </c>
      <c r="G69" s="17">
        <f>'Alloc Amt'!G69/'Alloc Amt'!$E69</f>
        <v>9.111468829229491E-2</v>
      </c>
      <c r="H69" s="17">
        <f>'Alloc Amt'!H69/'Alloc Amt'!$E69</f>
        <v>9.1672643211608285E-3</v>
      </c>
      <c r="I69" s="17">
        <f>'Alloc Amt'!I69/'Alloc Amt'!$E69</f>
        <v>9.7273275592434372E-3</v>
      </c>
      <c r="J69" s="17">
        <f>'Alloc Amt'!J69/'Alloc Amt'!$E69</f>
        <v>1.0513868848967706E-2</v>
      </c>
      <c r="K69" s="17">
        <f>'Alloc Amt'!K69/'Alloc Amt'!$E69</f>
        <v>8.8754372700977676E-7</v>
      </c>
      <c r="L69" s="17">
        <f>'Alloc Amt'!L69/'Alloc Amt'!$E69</f>
        <v>2.9426708546199514E-4</v>
      </c>
      <c r="M69" s="17">
        <f>'Alloc Amt'!M69/'Alloc Amt'!$E69</f>
        <v>1.1940283351342337E-3</v>
      </c>
      <c r="N69" s="17">
        <f>'Alloc Amt'!N69/'Alloc Amt'!$E69</f>
        <v>1.9046189960965059E-3</v>
      </c>
      <c r="O69" s="17">
        <f>'Alloc Amt'!O69/'Alloc Amt'!$E69</f>
        <v>3.4008112095299044E-3</v>
      </c>
      <c r="P69" s="17">
        <f>'Alloc Amt'!P69/'Alloc Amt'!$E69</f>
        <v>2.8656781812476215E-3</v>
      </c>
      <c r="Q69" s="17">
        <f>'Alloc Amt'!Q69/'Alloc Amt'!$E69</f>
        <v>1.8814543801692721E-6</v>
      </c>
    </row>
    <row r="70" spans="2:17" x14ac:dyDescent="0.25">
      <c r="B70" s="16" t="str">
        <f>'Alloc Amt'!B70</f>
        <v>Cust Accts Exp - Subtotal ID902.00 to ID905.00</v>
      </c>
      <c r="C70" s="16" t="str">
        <f>'Alloc Amt'!C70</f>
        <v>CAES1.T</v>
      </c>
      <c r="D70" s="16">
        <f>'Alloc Amt'!D70</f>
        <v>64</v>
      </c>
      <c r="E70" s="17">
        <f t="shared" si="0"/>
        <v>0.99999999999999967</v>
      </c>
      <c r="F70" s="17">
        <f>'Alloc Amt'!F70/'Alloc Amt'!$E70</f>
        <v>0.86981467817275548</v>
      </c>
      <c r="G70" s="17">
        <f>'Alloc Amt'!G70/'Alloc Amt'!$E70</f>
        <v>9.1114688292294868E-2</v>
      </c>
      <c r="H70" s="17">
        <f>'Alloc Amt'!H70/'Alloc Amt'!$E70</f>
        <v>9.1672643211608267E-3</v>
      </c>
      <c r="I70" s="17">
        <f>'Alloc Amt'!I70/'Alloc Amt'!$E70</f>
        <v>9.7273275592434354E-3</v>
      </c>
      <c r="J70" s="17">
        <f>'Alloc Amt'!J70/'Alloc Amt'!$E70</f>
        <v>1.0513868848967704E-2</v>
      </c>
      <c r="K70" s="17">
        <f>'Alloc Amt'!K70/'Alloc Amt'!$E70</f>
        <v>8.8754372700977655E-7</v>
      </c>
      <c r="L70" s="17">
        <f>'Alloc Amt'!L70/'Alloc Amt'!$E70</f>
        <v>2.9426708546199509E-4</v>
      </c>
      <c r="M70" s="17">
        <f>'Alloc Amt'!M70/'Alloc Amt'!$E70</f>
        <v>1.1940283351342335E-3</v>
      </c>
      <c r="N70" s="17">
        <f>'Alloc Amt'!N70/'Alloc Amt'!$E70</f>
        <v>1.9046189960965057E-3</v>
      </c>
      <c r="O70" s="17">
        <f>'Alloc Amt'!O70/'Alloc Amt'!$E70</f>
        <v>3.400811209529904E-3</v>
      </c>
      <c r="P70" s="17">
        <f>'Alloc Amt'!P70/'Alloc Amt'!$E70</f>
        <v>2.8656781812476211E-3</v>
      </c>
      <c r="Q70" s="17">
        <f>'Alloc Amt'!Q70/'Alloc Amt'!$E70</f>
        <v>1.8814543801692717E-6</v>
      </c>
    </row>
    <row r="71" spans="2:17" x14ac:dyDescent="0.25">
      <c r="B71" s="16" t="str">
        <f>'Alloc Amt'!B71</f>
        <v>Dist O&amp;M - ID581.00 to ID589.00 Subtotal</v>
      </c>
      <c r="C71" s="16" t="str">
        <f>'Alloc Amt'!C71</f>
        <v>DES1.T</v>
      </c>
      <c r="D71" s="16">
        <f>'Alloc Amt'!D71</f>
        <v>65</v>
      </c>
      <c r="E71" s="17">
        <f t="shared" si="0"/>
        <v>1</v>
      </c>
      <c r="F71" s="17">
        <f>'Alloc Amt'!F71/'Alloc Amt'!$E71</f>
        <v>0.63791850672776029</v>
      </c>
      <c r="G71" s="17">
        <f>'Alloc Amt'!G71/'Alloc Amt'!$E71</f>
        <v>0.14193773399213874</v>
      </c>
      <c r="H71" s="17">
        <f>'Alloc Amt'!H71/'Alloc Amt'!$E71</f>
        <v>9.0248647923643205E-2</v>
      </c>
      <c r="I71" s="17">
        <f>'Alloc Amt'!I71/'Alloc Amt'!$E71</f>
        <v>3.4027662723436394E-2</v>
      </c>
      <c r="J71" s="17">
        <f>'Alloc Amt'!J71/'Alloc Amt'!$E71</f>
        <v>5.1815078526806814E-2</v>
      </c>
      <c r="K71" s="17">
        <f>'Alloc Amt'!K71/'Alloc Amt'!$E71</f>
        <v>4.1279590150155112E-4</v>
      </c>
      <c r="L71" s="17">
        <f>'Alloc Amt'!L71/'Alloc Amt'!$E71</f>
        <v>1.4504145516311984E-2</v>
      </c>
      <c r="M71" s="17">
        <f>'Alloc Amt'!M71/'Alloc Amt'!$E71</f>
        <v>1.005874397898507E-2</v>
      </c>
      <c r="N71" s="17">
        <f>'Alloc Amt'!N71/'Alloc Amt'!$E71</f>
        <v>5.3574830812850348E-3</v>
      </c>
      <c r="O71" s="17">
        <f>'Alloc Amt'!O71/'Alloc Amt'!$E71</f>
        <v>3.0890515854744413E-3</v>
      </c>
      <c r="P71" s="17">
        <f>'Alloc Amt'!P71/'Alloc Amt'!$E71</f>
        <v>1.0364455766666744E-2</v>
      </c>
      <c r="Q71" s="17">
        <f>'Alloc Amt'!Q71/'Alloc Amt'!$E71</f>
        <v>2.6569427598971429E-4</v>
      </c>
    </row>
    <row r="72" spans="2:17" x14ac:dyDescent="0.25">
      <c r="B72" s="16" t="str">
        <f>'Alloc Amt'!B72</f>
        <v>Dist O&amp;M - ID591.00 to ID597.00 Subtotal</v>
      </c>
      <c r="C72" s="16" t="str">
        <f>'Alloc Amt'!C72</f>
        <v>DES2.T</v>
      </c>
      <c r="D72" s="16">
        <f>'Alloc Amt'!D72</f>
        <v>66</v>
      </c>
      <c r="E72" s="17">
        <f t="shared" ref="E72:E89" si="1">SUM(F72:Q72)</f>
        <v>1</v>
      </c>
      <c r="F72" s="17">
        <f>'Alloc Amt'!F72/'Alloc Amt'!$E72</f>
        <v>0.65130328511795621</v>
      </c>
      <c r="G72" s="17">
        <f>'Alloc Amt'!G72/'Alloc Amt'!$E72</f>
        <v>0.11976905406642015</v>
      </c>
      <c r="H72" s="17">
        <f>'Alloc Amt'!H72/'Alloc Amt'!$E72</f>
        <v>9.7544704720781666E-2</v>
      </c>
      <c r="I72" s="17">
        <f>'Alloc Amt'!I72/'Alloc Amt'!$E72</f>
        <v>3.9954445330627156E-2</v>
      </c>
      <c r="J72" s="17">
        <f>'Alloc Amt'!J72/'Alloc Amt'!$E72</f>
        <v>3.5499321543843922E-2</v>
      </c>
      <c r="K72" s="17">
        <f>'Alloc Amt'!K72/'Alloc Amt'!$E72</f>
        <v>7.2548402402601011E-4</v>
      </c>
      <c r="L72" s="17">
        <f>'Alloc Amt'!L72/'Alloc Amt'!$E72</f>
        <v>9.6354133987915022E-3</v>
      </c>
      <c r="M72" s="17">
        <f>'Alloc Amt'!M72/'Alloc Amt'!$E72</f>
        <v>4.2106247898252101E-3</v>
      </c>
      <c r="N72" s="17">
        <f>'Alloc Amt'!N72/'Alloc Amt'!$E72</f>
        <v>1.5493649050378087E-3</v>
      </c>
      <c r="O72" s="17">
        <f>'Alloc Amt'!O72/'Alloc Amt'!$E72</f>
        <v>3.7906142375871517E-4</v>
      </c>
      <c r="P72" s="17">
        <f>'Alloc Amt'!P72/'Alloc Amt'!$E72</f>
        <v>3.8885721341828612E-2</v>
      </c>
      <c r="Q72" s="17">
        <f>'Alloc Amt'!Q72/'Alloc Amt'!$E72</f>
        <v>5.4351933710287319E-4</v>
      </c>
    </row>
    <row r="73" spans="2:17" x14ac:dyDescent="0.25">
      <c r="B73" s="16" t="str">
        <f>'Alloc Amt'!B73</f>
        <v>Dist O&amp;M - ID582.00 to ID587.00 Subtotal</v>
      </c>
      <c r="C73" s="16" t="str">
        <f>'Alloc Amt'!C73</f>
        <v>DES3.T</v>
      </c>
      <c r="D73" s="16">
        <f>'Alloc Amt'!D73</f>
        <v>67</v>
      </c>
      <c r="E73" s="17">
        <f t="shared" si="1"/>
        <v>1</v>
      </c>
      <c r="F73" s="17">
        <f>'Alloc Amt'!F73/'Alloc Amt'!$E73</f>
        <v>0.63791850672776029</v>
      </c>
      <c r="G73" s="17">
        <f>'Alloc Amt'!G73/'Alloc Amt'!$E73</f>
        <v>0.14193773399213874</v>
      </c>
      <c r="H73" s="17">
        <f>'Alloc Amt'!H73/'Alloc Amt'!$E73</f>
        <v>9.0248647923643219E-2</v>
      </c>
      <c r="I73" s="17">
        <f>'Alloc Amt'!I73/'Alloc Amt'!$E73</f>
        <v>3.4027662723436401E-2</v>
      </c>
      <c r="J73" s="17">
        <f>'Alloc Amt'!J73/'Alloc Amt'!$E73</f>
        <v>5.1815078526806814E-2</v>
      </c>
      <c r="K73" s="17">
        <f>'Alloc Amt'!K73/'Alloc Amt'!$E73</f>
        <v>4.1279590150155118E-4</v>
      </c>
      <c r="L73" s="17">
        <f>'Alloc Amt'!L73/'Alloc Amt'!$E73</f>
        <v>1.4504145516311984E-2</v>
      </c>
      <c r="M73" s="17">
        <f>'Alloc Amt'!M73/'Alloc Amt'!$E73</f>
        <v>1.005874397898507E-2</v>
      </c>
      <c r="N73" s="17">
        <f>'Alloc Amt'!N73/'Alloc Amt'!$E73</f>
        <v>5.3574830812850348E-3</v>
      </c>
      <c r="O73" s="17">
        <f>'Alloc Amt'!O73/'Alloc Amt'!$E73</f>
        <v>3.0890515854744413E-3</v>
      </c>
      <c r="P73" s="17">
        <f>'Alloc Amt'!P73/'Alloc Amt'!$E73</f>
        <v>1.0364455766666742E-2</v>
      </c>
      <c r="Q73" s="17">
        <f>'Alloc Amt'!Q73/'Alloc Amt'!$E73</f>
        <v>2.6569427598971423E-4</v>
      </c>
    </row>
    <row r="74" spans="2:17" x14ac:dyDescent="0.25">
      <c r="B74" s="16" t="str">
        <f>'Alloc Amt'!B74</f>
        <v>Total Distribution Plant</v>
      </c>
      <c r="C74" s="16" t="str">
        <f>'Alloc Amt'!C74</f>
        <v>DP.T</v>
      </c>
      <c r="D74" s="16">
        <f>'Alloc Amt'!D74</f>
        <v>68</v>
      </c>
      <c r="E74" s="17">
        <f t="shared" si="1"/>
        <v>0.99999999999999978</v>
      </c>
      <c r="F74" s="17">
        <f>'Alloc Amt'!F74/'Alloc Amt'!$E74</f>
        <v>0.66491244668152705</v>
      </c>
      <c r="G74" s="17">
        <f>'Alloc Amt'!G74/'Alloc Amt'!$E74</f>
        <v>0.11853744496083253</v>
      </c>
      <c r="H74" s="17">
        <f>'Alloc Amt'!H74/'Alloc Amt'!$E74</f>
        <v>9.4111643484344754E-2</v>
      </c>
      <c r="I74" s="17">
        <f>'Alloc Amt'!I74/'Alloc Amt'!$E74</f>
        <v>4.0075662163653825E-2</v>
      </c>
      <c r="J74" s="17">
        <f>'Alloc Amt'!J74/'Alloc Amt'!$E74</f>
        <v>3.531440032373355E-2</v>
      </c>
      <c r="K74" s="17">
        <f>'Alloc Amt'!K74/'Alloc Amt'!$E74</f>
        <v>4.0270752239432493E-4</v>
      </c>
      <c r="L74" s="17">
        <f>'Alloc Amt'!L74/'Alloc Amt'!$E74</f>
        <v>8.7358834803655111E-3</v>
      </c>
      <c r="M74" s="17">
        <f>'Alloc Amt'!M74/'Alloc Amt'!$E74</f>
        <v>1.2023740341066116E-2</v>
      </c>
      <c r="N74" s="17">
        <f>'Alloc Amt'!N74/'Alloc Amt'!$E74</f>
        <v>4.5822861460597308E-3</v>
      </c>
      <c r="O74" s="17">
        <f>'Alloc Amt'!O74/'Alloc Amt'!$E74</f>
        <v>1.5831997561676374E-3</v>
      </c>
      <c r="P74" s="17">
        <f>'Alloc Amt'!P74/'Alloc Amt'!$E74</f>
        <v>1.9413729980217238E-2</v>
      </c>
      <c r="Q74" s="17">
        <f>'Alloc Amt'!Q74/'Alloc Amt'!$E74</f>
        <v>3.0685515963754768E-4</v>
      </c>
    </row>
    <row r="75" spans="2:17" x14ac:dyDescent="0.25">
      <c r="B75" s="16" t="str">
        <f>'Alloc Amt'!B75</f>
        <v>Total Elec Plant In Service</v>
      </c>
      <c r="C75" s="16" t="str">
        <f>'Alloc Amt'!C75</f>
        <v>EPIS.T</v>
      </c>
      <c r="D75" s="16">
        <f>'Alloc Amt'!D75</f>
        <v>69</v>
      </c>
      <c r="E75" s="17">
        <f t="shared" si="1"/>
        <v>0.99999999999999989</v>
      </c>
      <c r="F75" s="17">
        <f>'Alloc Amt'!F75/'Alloc Amt'!$E75</f>
        <v>0.58075525570721409</v>
      </c>
      <c r="G75" s="17">
        <f>'Alloc Amt'!G75/'Alloc Amt'!$E75</f>
        <v>0.12472849151921755</v>
      </c>
      <c r="H75" s="17">
        <f>'Alloc Amt'!H75/'Alloc Amt'!$E75</f>
        <v>0.12192923077504689</v>
      </c>
      <c r="I75" s="17">
        <f>'Alloc Amt'!I75/'Alloc Amt'!$E75</f>
        <v>6.9086139475772426E-2</v>
      </c>
      <c r="J75" s="17">
        <f>'Alloc Amt'!J75/'Alloc Amt'!$E75</f>
        <v>5.1224294105570993E-2</v>
      </c>
      <c r="K75" s="17">
        <f>'Alloc Amt'!K75/'Alloc Amt'!$E75</f>
        <v>2.7187232224640007E-4</v>
      </c>
      <c r="L75" s="17">
        <f>'Alloc Amt'!L75/'Alloc Amt'!$E75</f>
        <v>6.5168317977100428E-3</v>
      </c>
      <c r="M75" s="17">
        <f>'Alloc Amt'!M75/'Alloc Amt'!$E75</f>
        <v>6.7244325818348345E-3</v>
      </c>
      <c r="N75" s="17">
        <f>'Alloc Amt'!N75/'Alloc Amt'!$E75</f>
        <v>1.7408826600532102E-2</v>
      </c>
      <c r="O75" s="17">
        <f>'Alloc Amt'!O75/'Alloc Amt'!$E75</f>
        <v>1.0755062486859254E-2</v>
      </c>
      <c r="P75" s="17">
        <f>'Alloc Amt'!P75/'Alloc Amt'!$E75</f>
        <v>1.027997191375082E-2</v>
      </c>
      <c r="Q75" s="17">
        <f>'Alloc Amt'!Q75/'Alloc Amt'!$E75</f>
        <v>3.1959071424444947E-4</v>
      </c>
    </row>
    <row r="76" spans="2:17" x14ac:dyDescent="0.25">
      <c r="B76" s="16" t="str">
        <f>'Alloc Amt'!B76</f>
        <v>Total General Plant</v>
      </c>
      <c r="C76" s="16" t="str">
        <f>'Alloc Amt'!C76</f>
        <v>GP.T</v>
      </c>
      <c r="D76" s="16">
        <f>'Alloc Amt'!D76</f>
        <v>70</v>
      </c>
      <c r="E76" s="17">
        <f t="shared" si="1"/>
        <v>1.0000000000000002</v>
      </c>
      <c r="F76" s="17">
        <f>'Alloc Amt'!F76/'Alloc Amt'!$E76</f>
        <v>0.60880508863686811</v>
      </c>
      <c r="G76" s="17">
        <f>'Alloc Amt'!G76/'Alloc Amt'!$E76</f>
        <v>0.12100649737725218</v>
      </c>
      <c r="H76" s="17">
        <f>'Alloc Amt'!H76/'Alloc Amt'!$E76</f>
        <v>0.10983596175627063</v>
      </c>
      <c r="I76" s="17">
        <f>'Alloc Amt'!I76/'Alloc Amt'!$E76</f>
        <v>6.2477751422257068E-2</v>
      </c>
      <c r="J76" s="17">
        <f>'Alloc Amt'!J76/'Alloc Amt'!$E76</f>
        <v>4.6672609739928622E-2</v>
      </c>
      <c r="K76" s="17">
        <f>'Alloc Amt'!K76/'Alloc Amt'!$E76</f>
        <v>2.4483588058858176E-4</v>
      </c>
      <c r="L76" s="17">
        <f>'Alloc Amt'!L76/'Alloc Amt'!$E76</f>
        <v>5.885570687281288E-3</v>
      </c>
      <c r="M76" s="17">
        <f>'Alloc Amt'!M76/'Alloc Amt'!$E76</f>
        <v>6.0924830602271003E-3</v>
      </c>
      <c r="N76" s="17">
        <f>'Alloc Amt'!N76/'Alloc Amt'!$E76</f>
        <v>1.5640275966841984E-2</v>
      </c>
      <c r="O76" s="17">
        <f>'Alloc Amt'!O76/'Alloc Amt'!$E76</f>
        <v>9.3361727286750944E-3</v>
      </c>
      <c r="P76" s="17">
        <f>'Alloc Amt'!P76/'Alloc Amt'!$E76</f>
        <v>1.3716404608356658E-2</v>
      </c>
      <c r="Q76" s="17">
        <f>'Alloc Amt'!Q76/'Alloc Amt'!$E76</f>
        <v>2.8634813545285446E-4</v>
      </c>
    </row>
    <row r="77" spans="2:17" x14ac:dyDescent="0.25">
      <c r="B77" s="16" t="str">
        <f>'Alloc Amt'!B77</f>
        <v>Total Distribution OH &amp; UG Lines</v>
      </c>
      <c r="C77" s="16" t="str">
        <f>'Alloc Amt'!C77</f>
        <v>LINE.T</v>
      </c>
      <c r="D77" s="16">
        <f>'Alloc Amt'!D77</f>
        <v>71</v>
      </c>
      <c r="E77" s="17">
        <f t="shared" si="1"/>
        <v>0.99999999999999978</v>
      </c>
      <c r="F77" s="17">
        <f>'Alloc Amt'!F77/'Alloc Amt'!$E77</f>
        <v>0.67078395683268888</v>
      </c>
      <c r="G77" s="17">
        <f>'Alloc Amt'!G77/'Alloc Amt'!$E77</f>
        <v>0.12054803390076668</v>
      </c>
      <c r="H77" s="17">
        <f>'Alloc Amt'!H77/'Alloc Amt'!$E77</f>
        <v>0.10606840074795988</v>
      </c>
      <c r="I77" s="17">
        <f>'Alloc Amt'!I77/'Alloc Amt'!$E77</f>
        <v>4.4814517734751223E-2</v>
      </c>
      <c r="J77" s="17">
        <f>'Alloc Amt'!J77/'Alloc Amt'!$E77</f>
        <v>3.4791197060335885E-2</v>
      </c>
      <c r="K77" s="17">
        <f>'Alloc Amt'!K77/'Alloc Amt'!$E77</f>
        <v>5.6957357487146844E-4</v>
      </c>
      <c r="L77" s="17">
        <f>'Alloc Amt'!L77/'Alloc Amt'!$E77</f>
        <v>1.0335611294136226E-2</v>
      </c>
      <c r="M77" s="17">
        <f>'Alloc Amt'!M77/'Alloc Amt'!$E77</f>
        <v>8.9897180136247635E-3</v>
      </c>
      <c r="N77" s="17">
        <f>'Alloc Amt'!N77/'Alloc Amt'!$E77</f>
        <v>2.1755585547634255E-3</v>
      </c>
      <c r="O77" s="17">
        <f>'Alloc Amt'!O77/'Alloc Amt'!$E77</f>
        <v>1.3073867318372702E-5</v>
      </c>
      <c r="P77" s="17">
        <f>'Alloc Amt'!P77/'Alloc Amt'!$E77</f>
        <v>5.0333412856227598E-4</v>
      </c>
      <c r="Q77" s="17">
        <f>'Alloc Amt'!Q77/'Alloc Amt'!$E77</f>
        <v>4.0702429022079534E-4</v>
      </c>
    </row>
    <row r="78" spans="2:17" x14ac:dyDescent="0.25">
      <c r="B78" s="16" t="str">
        <f>'Alloc Amt'!B78</f>
        <v>Sales of Electricity - Non Firm</v>
      </c>
      <c r="C78" s="16" t="str">
        <f>'Alloc Amt'!C78</f>
        <v>POWER.T</v>
      </c>
      <c r="D78" s="16">
        <f>'Alloc Amt'!D78</f>
        <v>72</v>
      </c>
      <c r="E78" s="17">
        <f t="shared" si="1"/>
        <v>1.0000000000000002</v>
      </c>
      <c r="F78" s="17">
        <f>'Alloc Amt'!F78/'Alloc Amt'!$E78</f>
        <v>0.52599298857330345</v>
      </c>
      <c r="G78" s="17">
        <f>'Alloc Amt'!G78/'Alloc Amt'!$E78</f>
        <v>0.13215795718839596</v>
      </c>
      <c r="H78" s="17">
        <f>'Alloc Amt'!H78/'Alloc Amt'!$E78</f>
        <v>0.14636026550300632</v>
      </c>
      <c r="I78" s="17">
        <f>'Alloc Amt'!I78/'Alloc Amt'!$E78</f>
        <v>9.2581123150114158E-2</v>
      </c>
      <c r="J78" s="17">
        <f>'Alloc Amt'!J78/'Alloc Amt'!$E78</f>
        <v>6.4500354782571129E-2</v>
      </c>
      <c r="K78" s="17">
        <f>'Alloc Amt'!K78/'Alloc Amt'!$E78</f>
        <v>1.8554672782552381E-4</v>
      </c>
      <c r="L78" s="17">
        <f>'Alloc Amt'!L78/'Alloc Amt'!$E78</f>
        <v>5.1155278554848339E-3</v>
      </c>
      <c r="M78" s="17">
        <f>'Alloc Amt'!M78/'Alloc Amt'!$E78</f>
        <v>3.0830665474064722E-4</v>
      </c>
      <c r="N78" s="17">
        <f>'Alloc Amt'!N78/'Alloc Amt'!$E78</f>
        <v>2.7377789221525794E-2</v>
      </c>
      <c r="O78" s="17">
        <f>'Alloc Amt'!O78/'Alloc Amt'!$E78</f>
        <v>1.7926712243670642E-3</v>
      </c>
      <c r="P78" s="17">
        <f>'Alloc Amt'!P78/'Alloc Amt'!$E78</f>
        <v>3.2876000765352411E-3</v>
      </c>
      <c r="Q78" s="17">
        <f>'Alloc Amt'!Q78/'Alloc Amt'!$E78</f>
        <v>3.3986904213001846E-4</v>
      </c>
    </row>
    <row r="79" spans="2:17" x14ac:dyDescent="0.25">
      <c r="B79" s="16" t="str">
        <f>'Alloc Amt'!B79</f>
        <v>Total Production Plant</v>
      </c>
      <c r="C79" s="16" t="str">
        <f>'Alloc Amt'!C79</f>
        <v>PP.T</v>
      </c>
      <c r="D79" s="16">
        <f>'Alloc Amt'!D79</f>
        <v>73</v>
      </c>
      <c r="E79" s="17">
        <f t="shared" si="1"/>
        <v>1</v>
      </c>
      <c r="F79" s="17">
        <f>'Alloc Amt'!F79/'Alloc Amt'!$E79</f>
        <v>0.52709731139948457</v>
      </c>
      <c r="G79" s="17">
        <f>'Alloc Amt'!G79/'Alloc Amt'!$E79</f>
        <v>0.13243616960549517</v>
      </c>
      <c r="H79" s="17">
        <f>'Alloc Amt'!H79/'Alloc Amt'!$E79</f>
        <v>0.14666868464792654</v>
      </c>
      <c r="I79" s="17">
        <f>'Alloc Amt'!I79/'Alloc Amt'!$E79</f>
        <v>9.2777169236385973E-2</v>
      </c>
      <c r="J79" s="17">
        <f>'Alloc Amt'!J79/'Alloc Amt'!$E79</f>
        <v>6.4636892642454521E-2</v>
      </c>
      <c r="K79" s="17">
        <f>'Alloc Amt'!K79/'Alloc Amt'!$E79</f>
        <v>1.8594889359473007E-4</v>
      </c>
      <c r="L79" s="17">
        <f>'Alloc Amt'!L79/'Alloc Amt'!$E79</f>
        <v>5.1266186882089754E-3</v>
      </c>
      <c r="M79" s="17">
        <f>'Alloc Amt'!M79/'Alloc Amt'!$E79</f>
        <v>0</v>
      </c>
      <c r="N79" s="17">
        <f>'Alloc Amt'!N79/'Alloc Amt'!$E79</f>
        <v>2.7436024162419331E-2</v>
      </c>
      <c r="O79" s="17">
        <f>'Alloc Amt'!O79/'Alloc Amt'!$E79</f>
        <v>0</v>
      </c>
      <c r="P79" s="17">
        <f>'Alloc Amt'!P79/'Alloc Amt'!$E79</f>
        <v>3.2945978575228438E-3</v>
      </c>
      <c r="Q79" s="17">
        <f>'Alloc Amt'!Q79/'Alloc Amt'!$E79</f>
        <v>3.405828665073944E-4</v>
      </c>
    </row>
    <row r="80" spans="2:17" x14ac:dyDescent="0.25">
      <c r="B80" s="16" t="str">
        <f>'Alloc Amt'!B80</f>
        <v>Total Prod, Trans, Dist &amp; Gen Plant</v>
      </c>
      <c r="C80" s="16" t="str">
        <f>'Alloc Amt'!C80</f>
        <v>PTDGP.T</v>
      </c>
      <c r="D80" s="16">
        <f>'Alloc Amt'!D80</f>
        <v>74</v>
      </c>
      <c r="E80" s="17">
        <f t="shared" si="1"/>
        <v>0.99999999999999978</v>
      </c>
      <c r="F80" s="17">
        <f>'Alloc Amt'!F80/'Alloc Amt'!$E80</f>
        <v>0.57993071323096224</v>
      </c>
      <c r="G80" s="17">
        <f>'Alloc Amt'!G80/'Alloc Amt'!$E80</f>
        <v>0.12481001855152966</v>
      </c>
      <c r="H80" s="17">
        <f>'Alloc Amt'!H80/'Alloc Amt'!$E80</f>
        <v>0.12223272077991496</v>
      </c>
      <c r="I80" s="17">
        <f>'Alloc Amt'!I80/'Alloc Amt'!$E80</f>
        <v>6.9240488439488906E-2</v>
      </c>
      <c r="J80" s="17">
        <f>'Alloc Amt'!J80/'Alloc Amt'!$E80</f>
        <v>5.1333285938064792E-2</v>
      </c>
      <c r="K80" s="17">
        <f>'Alloc Amt'!K80/'Alloc Amt'!$E80</f>
        <v>2.7270431906258107E-4</v>
      </c>
      <c r="L80" s="17">
        <f>'Alloc Amt'!L80/'Alloc Amt'!$E80</f>
        <v>6.5355594476520073E-3</v>
      </c>
      <c r="M80" s="17">
        <f>'Alloc Amt'!M80/'Alloc Amt'!$E80</f>
        <v>6.7688259128324685E-3</v>
      </c>
      <c r="N80" s="17">
        <f>'Alloc Amt'!N80/'Alloc Amt'!$E80</f>
        <v>1.7446238147676322E-2</v>
      </c>
      <c r="O80" s="17">
        <f>'Alloc Amt'!O80/'Alloc Amt'!$E80</f>
        <v>1.0921364931717739E-2</v>
      </c>
      <c r="P80" s="17">
        <f>'Alloc Amt'!P80/'Alloc Amt'!$E80</f>
        <v>1.0187601778295722E-2</v>
      </c>
      <c r="Q80" s="17">
        <f>'Alloc Amt'!Q80/'Alloc Amt'!$E80</f>
        <v>3.2047852280253452E-4</v>
      </c>
    </row>
    <row r="81" spans="2:17" x14ac:dyDescent="0.25">
      <c r="B81" s="16" t="str">
        <f>'Alloc Amt'!B81</f>
        <v>Prod Trans Dist Allocation Factor</v>
      </c>
      <c r="C81" s="16" t="str">
        <f>'Alloc Amt'!C81</f>
        <v>PTDP.T</v>
      </c>
      <c r="D81" s="16">
        <f>'Alloc Amt'!D81</f>
        <v>75</v>
      </c>
      <c r="E81" s="17">
        <f t="shared" si="1"/>
        <v>1.0000000000000002</v>
      </c>
      <c r="F81" s="17">
        <f>'Alloc Amt'!F81/'Alloc Amt'!$E81</f>
        <v>0.57833649406004239</v>
      </c>
      <c r="G81" s="17">
        <f>'Alloc Amt'!G81/'Alloc Amt'!$E81</f>
        <v>0.12502001950524014</v>
      </c>
      <c r="H81" s="17">
        <f>'Alloc Amt'!H81/'Alloc Amt'!$E81</f>
        <v>0.1229171737114484</v>
      </c>
      <c r="I81" s="17">
        <f>'Alloc Amt'!I81/'Alloc Amt'!$E81</f>
        <v>6.9613874351710459E-2</v>
      </c>
      <c r="J81" s="17">
        <f>'Alloc Amt'!J81/'Alloc Amt'!$E81</f>
        <v>5.1590612347383408E-2</v>
      </c>
      <c r="K81" s="17">
        <f>'Alloc Amt'!K81/'Alloc Amt'!$E81</f>
        <v>2.742429981943128E-4</v>
      </c>
      <c r="L81" s="17">
        <f>'Alloc Amt'!L81/'Alloc Amt'!$E81</f>
        <v>6.5714467881779464E-3</v>
      </c>
      <c r="M81" s="17">
        <f>'Alloc Amt'!M81/'Alloc Amt'!$E81</f>
        <v>6.8061683220302692E-3</v>
      </c>
      <c r="N81" s="17">
        <f>'Alloc Amt'!N81/'Alloc Amt'!$E81</f>
        <v>1.7545949379180702E-2</v>
      </c>
      <c r="O81" s="17">
        <f>'Alloc Amt'!O81/'Alloc Amt'!$E81</f>
        <v>1.1008886956494303E-2</v>
      </c>
      <c r="P81" s="17">
        <f>'Alloc Amt'!P81/'Alloc Amt'!$E81</f>
        <v>9.992768641890316E-3</v>
      </c>
      <c r="Q81" s="17">
        <f>'Alloc Amt'!Q81/'Alloc Amt'!$E81</f>
        <v>3.2236293820750488E-4</v>
      </c>
    </row>
    <row r="82" spans="2:17" x14ac:dyDescent="0.25">
      <c r="B82" s="16" t="str">
        <f>'Alloc Amt'!B82</f>
        <v>Total Ratebase</v>
      </c>
      <c r="C82" s="16" t="str">
        <f>'Alloc Amt'!C82</f>
        <v>RB.T</v>
      </c>
      <c r="D82" s="16">
        <f>'Alloc Amt'!D82</f>
        <v>76</v>
      </c>
      <c r="E82" s="17">
        <f t="shared" si="1"/>
        <v>1</v>
      </c>
      <c r="F82" s="17">
        <f>'Alloc Amt'!F82/'Alloc Amt'!$E82</f>
        <v>0.57703661441049969</v>
      </c>
      <c r="G82" s="17">
        <f>'Alloc Amt'!G82/'Alloc Amt'!$E82</f>
        <v>0.12007111020425776</v>
      </c>
      <c r="H82" s="17">
        <f>'Alloc Amt'!H82/'Alloc Amt'!$E82</f>
        <v>0.12431519063292487</v>
      </c>
      <c r="I82" s="17">
        <f>'Alloc Amt'!I82/'Alloc Amt'!$E82</f>
        <v>7.0497886332418866E-2</v>
      </c>
      <c r="J82" s="17">
        <f>'Alloc Amt'!J82/'Alloc Amt'!$E82</f>
        <v>5.3031996655295059E-2</v>
      </c>
      <c r="K82" s="17">
        <f>'Alloc Amt'!K82/'Alloc Amt'!$E82</f>
        <v>2.8297597897014316E-4</v>
      </c>
      <c r="L82" s="17">
        <f>'Alloc Amt'!L82/'Alloc Amt'!$E82</f>
        <v>6.8507416122984763E-3</v>
      </c>
      <c r="M82" s="17">
        <f>'Alloc Amt'!M82/'Alloc Amt'!$E82</f>
        <v>7.0313704743860308E-3</v>
      </c>
      <c r="N82" s="17">
        <f>'Alloc Amt'!N82/'Alloc Amt'!$E82</f>
        <v>1.7609876429857247E-2</v>
      </c>
      <c r="O82" s="17">
        <f>'Alloc Amt'!O82/'Alloc Amt'!$E82</f>
        <v>1.2320401979720402E-2</v>
      </c>
      <c r="P82" s="17">
        <f>'Alloc Amt'!P82/'Alloc Amt'!$E82</f>
        <v>1.0620933130752809E-2</v>
      </c>
      <c r="Q82" s="17">
        <f>'Alloc Amt'!Q82/'Alloc Amt'!$E82</f>
        <v>3.3090215861877924E-4</v>
      </c>
    </row>
    <row r="83" spans="2:17" x14ac:dyDescent="0.25">
      <c r="B83" s="16" t="str">
        <f>'Alloc Amt'!B83</f>
        <v>REVFAC1 = (OME.T+DAE.T+RRB.T)</v>
      </c>
      <c r="C83" s="16" t="str">
        <f>'Alloc Amt'!C83</f>
        <v>REVFAC1.T</v>
      </c>
      <c r="D83" s="16">
        <f>'Alloc Amt'!D83</f>
        <v>77</v>
      </c>
      <c r="E83" s="17">
        <f t="shared" ca="1" si="1"/>
        <v>1</v>
      </c>
      <c r="F83" s="17">
        <f ca="1">'Alloc Amt'!F83/'Alloc Amt'!$E83</f>
        <v>0.57132658752262144</v>
      </c>
      <c r="G83" s="17">
        <f ca="1">'Alloc Amt'!G83/'Alloc Amt'!$E83</f>
        <v>0.12626644148091407</v>
      </c>
      <c r="H83" s="17">
        <f ca="1">'Alloc Amt'!H83/'Alloc Amt'!$E83</f>
        <v>0.12697515358073094</v>
      </c>
      <c r="I83" s="17">
        <f ca="1">'Alloc Amt'!I83/'Alloc Amt'!$E83</f>
        <v>7.5516262962170552E-2</v>
      </c>
      <c r="J83" s="17">
        <f ca="1">'Alloc Amt'!J83/'Alloc Amt'!$E83</f>
        <v>5.5364310077209135E-2</v>
      </c>
      <c r="K83" s="17">
        <f ca="1">'Alloc Amt'!K83/'Alloc Amt'!$E83</f>
        <v>2.4159121020928066E-4</v>
      </c>
      <c r="L83" s="17">
        <f ca="1">'Alloc Amt'!L83/'Alloc Amt'!$E83</f>
        <v>6.0163662178119486E-3</v>
      </c>
      <c r="M83" s="17">
        <f ca="1">'Alloc Amt'!M83/'Alloc Amt'!$E83</f>
        <v>3.1162541966082802E-3</v>
      </c>
      <c r="N83" s="17">
        <f ca="1">'Alloc Amt'!N83/'Alloc Amt'!$E83</f>
        <v>2.0386441973284389E-2</v>
      </c>
      <c r="O83" s="17">
        <f ca="1">'Alloc Amt'!O83/'Alloc Amt'!$E83</f>
        <v>5.9021190139941417E-3</v>
      </c>
      <c r="P83" s="17">
        <f ca="1">'Alloc Amt'!P83/'Alloc Amt'!$E83</f>
        <v>8.5648177348675511E-3</v>
      </c>
      <c r="Q83" s="17">
        <f ca="1">'Alloc Amt'!Q83/'Alloc Amt'!$E83</f>
        <v>3.2365402957830366E-4</v>
      </c>
    </row>
    <row r="84" spans="2:17" x14ac:dyDescent="0.25">
      <c r="B84" s="16" t="str">
        <f>'Alloc Amt'!B84</f>
        <v>Salary &amp; Wages - Total</v>
      </c>
      <c r="C84" s="16" t="str">
        <f>'Alloc Amt'!C84</f>
        <v>SW.T</v>
      </c>
      <c r="D84" s="16">
        <f>'Alloc Amt'!D84</f>
        <v>78</v>
      </c>
      <c r="E84" s="17">
        <f t="shared" si="1"/>
        <v>1.0000000000000002</v>
      </c>
      <c r="F84" s="17">
        <f>'Alloc Amt'!F84/'Alloc Amt'!$E84</f>
        <v>0.61033715068508232</v>
      </c>
      <c r="G84" s="17">
        <f>'Alloc Amt'!G84/'Alloc Amt'!$E84</f>
        <v>0.12078722099180716</v>
      </c>
      <c r="H84" s="17">
        <f>'Alloc Amt'!H84/'Alloc Amt'!$E84</f>
        <v>0.10914655933220299</v>
      </c>
      <c r="I84" s="17">
        <f>'Alloc Amt'!I84/'Alloc Amt'!$E84</f>
        <v>6.2112579905316587E-2</v>
      </c>
      <c r="J84" s="17">
        <f>'Alloc Amt'!J84/'Alloc Amt'!$E84</f>
        <v>4.641742100312047E-2</v>
      </c>
      <c r="K84" s="17">
        <f>'Alloc Amt'!K84/'Alloc Amt'!$E84</f>
        <v>2.4313047429804538E-4</v>
      </c>
      <c r="L84" s="17">
        <f>'Alloc Amt'!L84/'Alloc Amt'!$E84</f>
        <v>5.8464502154691664E-3</v>
      </c>
      <c r="M84" s="17">
        <f>'Alloc Amt'!M84/'Alloc Amt'!$E84</f>
        <v>6.0592651815859662E-3</v>
      </c>
      <c r="N84" s="17">
        <f>'Alloc Amt'!N84/'Alloc Amt'!$E84</f>
        <v>1.5546901070527147E-2</v>
      </c>
      <c r="O84" s="17">
        <f>'Alloc Amt'!O84/'Alloc Amt'!$E84</f>
        <v>9.3102840550967434E-3</v>
      </c>
      <c r="P84" s="17">
        <f>'Alloc Amt'!P84/'Alloc Amt'!$E84</f>
        <v>1.3908637142920692E-2</v>
      </c>
      <c r="Q84" s="17">
        <f>'Alloc Amt'!Q84/'Alloc Amt'!$E84</f>
        <v>2.8439994257297818E-4</v>
      </c>
    </row>
    <row r="85" spans="2:17" x14ac:dyDescent="0.25">
      <c r="B85" s="16" t="str">
        <f>'Alloc Amt'!B85</f>
        <v>Salary &amp; Wages - PTD Subtotal</v>
      </c>
      <c r="C85" s="16" t="str">
        <f>'Alloc Amt'!C85</f>
        <v>SWPTD.T</v>
      </c>
      <c r="D85" s="16">
        <f>'Alloc Amt'!D85</f>
        <v>79</v>
      </c>
      <c r="E85" s="17">
        <f t="shared" si="1"/>
        <v>0.99999999999999989</v>
      </c>
      <c r="F85" s="17">
        <f>'Alloc Amt'!F85/'Alloc Amt'!$E85</f>
        <v>0.58036670386065559</v>
      </c>
      <c r="G85" s="17">
        <f>'Alloc Amt'!G85/'Alloc Amt'!$E85</f>
        <v>0.12507969325994484</v>
      </c>
      <c r="H85" s="17">
        <f>'Alloc Amt'!H85/'Alloc Amt'!$E85</f>
        <v>0.1226381093049649</v>
      </c>
      <c r="I85" s="17">
        <f>'Alloc Amt'!I85/'Alloc Amt'!$E85</f>
        <v>6.9257196795426801E-2</v>
      </c>
      <c r="J85" s="17">
        <f>'Alloc Amt'!J85/'Alloc Amt'!$E85</f>
        <v>5.1410799164753627E-2</v>
      </c>
      <c r="K85" s="17">
        <f>'Alloc Amt'!K85/'Alloc Amt'!$E85</f>
        <v>2.7653023388910522E-4</v>
      </c>
      <c r="L85" s="17">
        <f>'Alloc Amt'!L85/'Alloc Amt'!$E85</f>
        <v>6.6125142951572406E-3</v>
      </c>
      <c r="M85" s="17">
        <f>'Alloc Amt'!M85/'Alloc Amt'!$E85</f>
        <v>6.7086276259213798E-3</v>
      </c>
      <c r="N85" s="17">
        <f>'Alloc Amt'!N85/'Alloc Amt'!$E85</f>
        <v>1.737310204462688E-2</v>
      </c>
      <c r="O85" s="17">
        <f>'Alloc Amt'!O85/'Alloc Amt'!$E85</f>
        <v>9.8068808341974147E-3</v>
      </c>
      <c r="P85" s="17">
        <f>'Alloc Amt'!P85/'Alloc Amt'!$E85</f>
        <v>1.0147308571527141E-2</v>
      </c>
      <c r="Q85" s="17">
        <f>'Alloc Amt'!Q85/'Alloc Amt'!$E85</f>
        <v>3.2253400893511526E-4</v>
      </c>
    </row>
    <row r="86" spans="2:17" x14ac:dyDescent="0.25">
      <c r="B86" s="16" t="str">
        <f>'Alloc Amt'!B86</f>
        <v>Total Transmission &amp; Distribution Plant</v>
      </c>
      <c r="C86" s="16" t="str">
        <f>'Alloc Amt'!C86</f>
        <v>TDP.T</v>
      </c>
      <c r="D86" s="16">
        <f>'Alloc Amt'!D86</f>
        <v>80</v>
      </c>
      <c r="E86" s="17">
        <f t="shared" si="1"/>
        <v>1</v>
      </c>
      <c r="F86" s="17">
        <f>'Alloc Amt'!F86/'Alloc Amt'!$E86</f>
        <v>0.61527688970939165</v>
      </c>
      <c r="G86" s="17">
        <f>'Alloc Amt'!G86/'Alloc Amt'!$E86</f>
        <v>0.11967341745826281</v>
      </c>
      <c r="H86" s="17">
        <f>'Alloc Amt'!H86/'Alloc Amt'!$E86</f>
        <v>0.10579375046959531</v>
      </c>
      <c r="I86" s="17">
        <f>'Alloc Amt'!I86/'Alloc Amt'!$E86</f>
        <v>5.2914519811827786E-2</v>
      </c>
      <c r="J86" s="17">
        <f>'Alloc Amt'!J86/'Alloc Amt'!$E86</f>
        <v>4.2185022116858248E-2</v>
      </c>
      <c r="K86" s="17">
        <f>'Alloc Amt'!K86/'Alloc Amt'!$E86</f>
        <v>3.3789778322515014E-4</v>
      </c>
      <c r="L86" s="17">
        <f>'Alloc Amt'!L86/'Alloc Amt'!$E86</f>
        <v>7.6130817028432739E-3</v>
      </c>
      <c r="M86" s="17">
        <f>'Alloc Amt'!M86/'Alloc Amt'!$E86</f>
        <v>1.1713009876031138E-2</v>
      </c>
      <c r="N86" s="17">
        <f>'Alloc Amt'!N86/'Alloc Amt'!$E86</f>
        <v>1.0415795139313865E-2</v>
      </c>
      <c r="O86" s="17">
        <f>'Alloc Amt'!O86/'Alloc Amt'!$E86</f>
        <v>1.8945638066010011E-2</v>
      </c>
      <c r="P86" s="17">
        <f>'Alloc Amt'!P86/'Alloc Amt'!$E86</f>
        <v>1.4821750410405374E-2</v>
      </c>
      <c r="Q86" s="17">
        <f>'Alloc Amt'!Q86/'Alloc Amt'!$E86</f>
        <v>3.0922745623544778E-4</v>
      </c>
    </row>
    <row r="87" spans="2:17" x14ac:dyDescent="0.25">
      <c r="B87" s="16" t="str">
        <f>'Alloc Amt'!B87</f>
        <v>Total Expenses Before FIT</v>
      </c>
      <c r="C87" s="16" t="str">
        <f>'Alloc Amt'!C87</f>
        <v>EBFIT.T</v>
      </c>
      <c r="D87" s="16">
        <f>'Alloc Amt'!D87</f>
        <v>81</v>
      </c>
      <c r="E87" s="17">
        <f t="shared" ca="1" si="1"/>
        <v>1.0000000000000002</v>
      </c>
      <c r="F87" s="17">
        <f ca="1">'Alloc Amt'!F87/'Alloc Amt'!$E87</f>
        <v>0.57010114885752206</v>
      </c>
      <c r="G87" s="17">
        <f ca="1">'Alloc Amt'!G87/'Alloc Amt'!$E87</f>
        <v>0.12773019108385061</v>
      </c>
      <c r="H87" s="17">
        <f ca="1">'Alloc Amt'!H87/'Alloc Amt'!$E87</f>
        <v>0.12754606364689439</v>
      </c>
      <c r="I87" s="17">
        <f ca="1">'Alloc Amt'!I87/'Alloc Amt'!$E87</f>
        <v>7.667047699220525E-2</v>
      </c>
      <c r="J87" s="17">
        <f ca="1">'Alloc Amt'!J87/'Alloc Amt'!$E87</f>
        <v>5.5890018123845316E-2</v>
      </c>
      <c r="K87" s="17">
        <f ca="1">'Alloc Amt'!K87/'Alloc Amt'!$E87</f>
        <v>2.3166913532432601E-4</v>
      </c>
      <c r="L87" s="17">
        <f ca="1">'Alloc Amt'!L87/'Alloc Amt'!$E87</f>
        <v>5.8156530503089736E-3</v>
      </c>
      <c r="M87" s="17">
        <f ca="1">'Alloc Amt'!M87/'Alloc Amt'!$E87</f>
        <v>2.1893760629803881E-3</v>
      </c>
      <c r="N87" s="17">
        <f ca="1">'Alloc Amt'!N87/'Alloc Amt'!$E87</f>
        <v>2.1034787767380922E-2</v>
      </c>
      <c r="O87" s="17">
        <f ca="1">'Alloc Amt'!O87/'Alloc Amt'!$E87</f>
        <v>4.3763238387611652E-3</v>
      </c>
      <c r="P87" s="17">
        <f ca="1">'Alloc Amt'!P87/'Alloc Amt'!$E87</f>
        <v>8.0925332723741205E-3</v>
      </c>
      <c r="Q87" s="17">
        <f ca="1">'Alloc Amt'!Q87/'Alloc Amt'!$E87</f>
        <v>3.2175816855272051E-4</v>
      </c>
    </row>
    <row r="88" spans="2:17" x14ac:dyDescent="0.25">
      <c r="B88" s="16" t="str">
        <f>'Alloc Amt'!B88</f>
        <v>Total Transmission Plant</v>
      </c>
      <c r="C88" s="16" t="str">
        <f>'Alloc Amt'!C88</f>
        <v>TP.T</v>
      </c>
      <c r="D88" s="16">
        <f>'Alloc Amt'!D88</f>
        <v>82</v>
      </c>
      <c r="E88" s="17">
        <f t="shared" si="1"/>
        <v>1</v>
      </c>
      <c r="F88" s="17">
        <f>'Alloc Amt'!F88/'Alloc Amt'!$E88</f>
        <v>0.4879997864978366</v>
      </c>
      <c r="G88" s="17">
        <f>'Alloc Amt'!G88/'Alloc Amt'!$E88</f>
        <v>0.12258631493782737</v>
      </c>
      <c r="H88" s="17">
        <f>'Alloc Amt'!H88/'Alloc Amt'!$E88</f>
        <v>0.13574938766179717</v>
      </c>
      <c r="I88" s="17">
        <f>'Alloc Amt'!I88/'Alloc Amt'!$E88</f>
        <v>8.5836334528693839E-2</v>
      </c>
      <c r="J88" s="17">
        <f>'Alloc Amt'!J88/'Alloc Amt'!$E88</f>
        <v>5.9802893103618839E-2</v>
      </c>
      <c r="K88" s="17">
        <f>'Alloc Amt'!K88/'Alloc Amt'!$E88</f>
        <v>1.7171055043193833E-4</v>
      </c>
      <c r="L88" s="17">
        <f>'Alloc Amt'!L88/'Alloc Amt'!$E88</f>
        <v>4.7339570099534456E-3</v>
      </c>
      <c r="M88" s="17">
        <f>'Alloc Amt'!M88/'Alloc Amt'!$E88</f>
        <v>1.0916224750975851E-2</v>
      </c>
      <c r="N88" s="17">
        <f>'Alloc Amt'!N88/'Alloc Amt'!$E88</f>
        <v>2.5374267885711139E-2</v>
      </c>
      <c r="O88" s="17">
        <f>'Alloc Amt'!O88/'Alloc Amt'!$E88</f>
        <v>6.3466964864188638E-2</v>
      </c>
      <c r="P88" s="17">
        <f>'Alloc Amt'!P88/'Alloc Amt'!$E88</f>
        <v>3.046847632938865E-3</v>
      </c>
      <c r="Q88" s="17">
        <f>'Alloc Amt'!Q88/'Alloc Amt'!$E88</f>
        <v>3.1531057602614211E-4</v>
      </c>
    </row>
    <row r="89" spans="2:17" x14ac:dyDescent="0.25">
      <c r="B89" s="16" t="str">
        <f>'Alloc Amt'!B89</f>
        <v>Prod Trans Dist Exp Allocation Factor</v>
      </c>
      <c r="C89" s="16" t="str">
        <f>'Alloc Amt'!C89</f>
        <v>PTDE.T</v>
      </c>
      <c r="D89" s="16">
        <f>'Alloc Amt'!D89</f>
        <v>83</v>
      </c>
      <c r="E89" s="17">
        <f t="shared" si="1"/>
        <v>0.99999999999999989</v>
      </c>
      <c r="F89" s="17">
        <f>'Alloc Amt'!F89/'Alloc Amt'!$E89</f>
        <v>0.53671556537646636</v>
      </c>
      <c r="G89" s="17">
        <f>'Alloc Amt'!G89/'Alloc Amt'!$E89</f>
        <v>0.13180758153348232</v>
      </c>
      <c r="H89" s="17">
        <f>'Alloc Amt'!H89/'Alloc Amt'!$E89</f>
        <v>0.14175727239029848</v>
      </c>
      <c r="I89" s="17">
        <f>'Alloc Amt'!I89/'Alloc Amt'!$E89</f>
        <v>8.7684779423277195E-2</v>
      </c>
      <c r="J89" s="17">
        <f>'Alloc Amt'!J89/'Alloc Amt'!$E89</f>
        <v>6.2468822621342207E-2</v>
      </c>
      <c r="K89" s="17">
        <f>'Alloc Amt'!K89/'Alloc Amt'!$E89</f>
        <v>2.2306569752898487E-4</v>
      </c>
      <c r="L89" s="17">
        <f>'Alloc Amt'!L89/'Alloc Amt'!$E89</f>
        <v>5.6844887912556432E-3</v>
      </c>
      <c r="M89" s="17">
        <f>'Alloc Amt'!M89/'Alloc Amt'!$E89</f>
        <v>8.5552266523929285E-4</v>
      </c>
      <c r="N89" s="17">
        <f>'Alloc Amt'!N89/'Alloc Amt'!$E89</f>
        <v>2.5203422948867456E-2</v>
      </c>
      <c r="O89" s="17">
        <f>'Alloc Amt'!O89/'Alloc Amt'!$E89</f>
        <v>1.7588371095563682E-3</v>
      </c>
      <c r="P89" s="17">
        <f>'Alloc Amt'!P89/'Alloc Amt'!$E89</f>
        <v>5.4920648853479734E-3</v>
      </c>
      <c r="Q89" s="17">
        <f>'Alloc Amt'!Q89/'Alloc Amt'!$E89</f>
        <v>3.4857655733776195E-4</v>
      </c>
    </row>
    <row r="90" spans="2:17" x14ac:dyDescent="0.25">
      <c r="B90" s="16">
        <f>'Alloc Amt'!B90</f>
        <v>0</v>
      </c>
      <c r="C90" s="16" t="str">
        <f>'Alloc Amt'!C90</f>
        <v>~</v>
      </c>
      <c r="D90" s="16">
        <f>'Alloc Amt'!D90</f>
        <v>0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5">
      <c r="B91" s="16">
        <f>'Alloc Amt'!B91</f>
        <v>0</v>
      </c>
      <c r="C91" s="16" t="str">
        <f>'Alloc Amt'!C91</f>
        <v>~</v>
      </c>
      <c r="D91" s="16">
        <f>'Alloc Amt'!D91</f>
        <v>0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5">
      <c r="B92" s="16">
        <f>'Alloc Amt'!B92</f>
        <v>0</v>
      </c>
      <c r="C92" s="16" t="str">
        <f>'Alloc Amt'!C92</f>
        <v>~</v>
      </c>
      <c r="D92" s="16">
        <f>'Alloc Amt'!D92</f>
        <v>0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5">
      <c r="B93" s="16">
        <f>'Alloc Amt'!B93</f>
        <v>0</v>
      </c>
      <c r="C93" s="16" t="str">
        <f>'Alloc Amt'!C93</f>
        <v>~</v>
      </c>
      <c r="D93" s="16">
        <f>'Alloc Amt'!D93</f>
        <v>0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5">
      <c r="B94" s="16">
        <f>'Alloc Amt'!B94</f>
        <v>0</v>
      </c>
      <c r="C94" s="16" t="str">
        <f>'Alloc Amt'!C94</f>
        <v>~</v>
      </c>
      <c r="D94" s="16">
        <f>'Alloc Amt'!D94</f>
        <v>0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5">
      <c r="B95" s="16">
        <f>'Alloc Amt'!B95</f>
        <v>0</v>
      </c>
      <c r="C95" s="16" t="str">
        <f>'Alloc Amt'!C95</f>
        <v>~</v>
      </c>
      <c r="D95" s="16">
        <f>'Alloc Amt'!D95</f>
        <v>0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5">
      <c r="B96" s="16">
        <f>'Alloc Amt'!B96</f>
        <v>0</v>
      </c>
      <c r="C96" s="16">
        <f>'Alloc Amt'!C96</f>
        <v>0</v>
      </c>
      <c r="D96" s="16">
        <f>'Alloc Amt'!D96</f>
        <v>0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5">
      <c r="B97" s="16">
        <f>'Alloc Amt'!B97</f>
        <v>0</v>
      </c>
      <c r="C97" s="16">
        <f>'Alloc Amt'!C97</f>
        <v>0</v>
      </c>
      <c r="D97" s="16">
        <f>'Alloc Amt'!D97</f>
        <v>0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5">
      <c r="B98" s="16">
        <f>'Alloc Amt'!B98</f>
        <v>0</v>
      </c>
      <c r="C98" s="16">
        <f>'Alloc Amt'!C98</f>
        <v>0</v>
      </c>
      <c r="D98" s="16">
        <f>'Alloc Amt'!D98</f>
        <v>0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5">
      <c r="B99" s="16">
        <f>'Alloc Amt'!B99</f>
        <v>0</v>
      </c>
      <c r="C99" s="16">
        <f>'Alloc Amt'!C99</f>
        <v>0</v>
      </c>
      <c r="D99" s="16">
        <f>'Alloc Amt'!D99</f>
        <v>0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5">
      <c r="B100" s="16">
        <f>'Alloc Amt'!B100</f>
        <v>0</v>
      </c>
      <c r="C100" s="16">
        <f>'Alloc Amt'!C100</f>
        <v>0</v>
      </c>
      <c r="D100" s="16">
        <f>'Alloc Amt'!D100</f>
        <v>0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5">
      <c r="B101" s="16">
        <f>'Alloc Amt'!B101</f>
        <v>0</v>
      </c>
      <c r="C101" s="16">
        <f>'Alloc Amt'!C101</f>
        <v>0</v>
      </c>
      <c r="D101" s="16">
        <f>'Alloc Amt'!D101</f>
        <v>0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5">
      <c r="B102" s="16">
        <f>'Alloc Amt'!B102</f>
        <v>0</v>
      </c>
      <c r="C102" s="16">
        <f>'Alloc Amt'!C102</f>
        <v>0</v>
      </c>
      <c r="D102" s="16">
        <f>'Alloc Amt'!D102</f>
        <v>0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5">
      <c r="B103" s="16">
        <f>'Alloc Amt'!B103</f>
        <v>0</v>
      </c>
      <c r="C103" s="16">
        <f>'Alloc Amt'!C103</f>
        <v>0</v>
      </c>
      <c r="D103" s="16">
        <f>'Alloc Amt'!D103</f>
        <v>0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5">
      <c r="B104" s="16">
        <f>'Alloc Amt'!B104</f>
        <v>0</v>
      </c>
      <c r="C104" s="16">
        <f>'Alloc Amt'!C104</f>
        <v>0</v>
      </c>
      <c r="D104" s="16">
        <f>'Alloc Amt'!D104</f>
        <v>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5">
      <c r="B105" s="16">
        <f>'Alloc Amt'!B105</f>
        <v>0</v>
      </c>
      <c r="C105" s="16">
        <f>'Alloc Amt'!C105</f>
        <v>0</v>
      </c>
      <c r="D105" s="16">
        <f>'Alloc Amt'!D105</f>
        <v>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5">
      <c r="B106" s="16">
        <f>'Alloc Amt'!B106</f>
        <v>0</v>
      </c>
      <c r="C106" s="16">
        <f>'Alloc Amt'!C106</f>
        <v>0</v>
      </c>
      <c r="D106" s="16">
        <f>'Alloc Amt'!D106</f>
        <v>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5">
      <c r="B107" s="16">
        <f>'Alloc Amt'!B107</f>
        <v>0</v>
      </c>
      <c r="C107" s="16">
        <f>'Alloc Amt'!C107</f>
        <v>0</v>
      </c>
      <c r="D107" s="16">
        <f>'Alloc Amt'!D107</f>
        <v>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5">
      <c r="B108" s="16">
        <f>'Alloc Amt'!B108</f>
        <v>0</v>
      </c>
      <c r="C108" s="16">
        <f>'Alloc Amt'!C108</f>
        <v>0</v>
      </c>
      <c r="D108" s="16">
        <f>'Alloc Amt'!D108</f>
        <v>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5">
      <c r="B109" s="16">
        <f>'Alloc Amt'!B109</f>
        <v>0</v>
      </c>
      <c r="C109" s="16">
        <f>'Alloc Amt'!C109</f>
        <v>0</v>
      </c>
      <c r="D109" s="16">
        <f>'Alloc Amt'!D109</f>
        <v>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5">
      <c r="B110" s="16">
        <f>'Alloc Amt'!B110</f>
        <v>0</v>
      </c>
      <c r="C110" s="16">
        <f>'Alloc Amt'!C110</f>
        <v>0</v>
      </c>
      <c r="D110" s="16">
        <f>'Alloc Amt'!D110</f>
        <v>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5">
      <c r="B111" s="16">
        <f>'Alloc Amt'!B111</f>
        <v>0</v>
      </c>
      <c r="C111" s="16">
        <f>'Alloc Amt'!C111</f>
        <v>0</v>
      </c>
      <c r="D111" s="16">
        <f>'Alloc Amt'!D111</f>
        <v>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5:17" x14ac:dyDescent="0.2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26101-411A-4043-83D6-B2366B1C572B}"/>
</file>

<file path=customXml/itemProps2.xml><?xml version="1.0" encoding="utf-8"?>
<ds:datastoreItem xmlns:ds="http://schemas.openxmlformats.org/officeDocument/2006/customXml" ds:itemID="{0A83D9CF-E732-4815-888F-E17D28859A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A7F78-E2B6-4BCD-88CA-529289B2893E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0bb6117c-7237-4594-87be-1a98bf45b026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1C3EF84-2568-4105-BCBE-7599BAB08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TOC</vt:lpstr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'Rate Base'!Print_Area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Patrick Horne</dc:creator>
  <cp:lastModifiedBy>Patrick Horne</cp:lastModifiedBy>
  <dcterms:created xsi:type="dcterms:W3CDTF">2019-11-06T14:37:25Z</dcterms:created>
  <dcterms:modified xsi:type="dcterms:W3CDTF">2019-11-15T18:00:29Z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