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"/>
    </mc:Choice>
  </mc:AlternateContent>
  <xr:revisionPtr revIDLastSave="140" documentId="8_{ABD3F0A7-8F05-4B99-9933-06042B129944}" xr6:coauthVersionLast="45" xr6:coauthVersionMax="45" xr10:uidLastSave="{31D2DAB0-C4A4-423E-BEF5-D740F20D8F64}"/>
  <bookViews>
    <workbookView xWindow="-120" yWindow="-120" windowWidth="20730" windowHeight="11160" xr2:uid="{00000000-000D-0000-FFFF-FFFF00000000}"/>
  </bookViews>
  <sheets>
    <sheet name="Cust Cost" sheetId="7" r:id="rId1"/>
  </sheets>
  <definedNames>
    <definedName name="_xlnm.Print_Area" localSheetId="0">'Cust Cost'!$B$5:$H$63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2" i="7" l="1"/>
  <c r="H61" i="7"/>
  <c r="H46" i="7"/>
  <c r="H38" i="7"/>
  <c r="H39" i="7"/>
  <c r="H40" i="7"/>
  <c r="H41" i="7"/>
  <c r="H37" i="7"/>
  <c r="H42" i="7" s="1"/>
  <c r="H53" i="7" s="1"/>
  <c r="H29" i="7"/>
  <c r="H30" i="7"/>
  <c r="H31" i="7"/>
  <c r="H32" i="7"/>
  <c r="H33" i="7"/>
  <c r="H28" i="7"/>
  <c r="H34" i="7" s="1"/>
  <c r="H52" i="7" s="1"/>
  <c r="H19" i="7"/>
  <c r="H20" i="7"/>
  <c r="H21" i="7"/>
  <c r="H22" i="7"/>
  <c r="H18" i="7"/>
  <c r="H23" i="7" s="1"/>
  <c r="H11" i="7"/>
  <c r="H12" i="7"/>
  <c r="H13" i="7"/>
  <c r="H14" i="7"/>
  <c r="H10" i="7"/>
  <c r="H15" i="7" s="1"/>
  <c r="H25" i="7" s="1"/>
  <c r="H47" i="7" s="1"/>
  <c r="E72" i="7"/>
  <c r="H50" i="7" l="1"/>
  <c r="H55" i="7" s="1"/>
  <c r="H58" i="7" s="1"/>
  <c r="H63" i="7" s="1"/>
  <c r="H48" i="7"/>
  <c r="F61" i="7"/>
  <c r="G68" i="7"/>
  <c r="G67" i="7"/>
  <c r="F41" i="7"/>
  <c r="F40" i="7"/>
  <c r="F39" i="7"/>
  <c r="F37" i="7"/>
  <c r="F34" i="7" l="1"/>
  <c r="F52" i="7" s="1"/>
  <c r="F15" i="7"/>
  <c r="F23" i="7"/>
  <c r="F38" i="7"/>
  <c r="F42" i="7" s="1"/>
  <c r="F53" i="7" s="1"/>
  <c r="F25" i="7" l="1"/>
  <c r="F46" i="7" s="1"/>
  <c r="F47" i="7" l="1"/>
  <c r="F48" i="7" s="1"/>
  <c r="G69" i="7"/>
  <c r="F50" i="7" l="1"/>
  <c r="F55" i="7" s="1"/>
  <c r="F58" i="7" s="1"/>
  <c r="F63" i="7" s="1"/>
</calcChain>
</file>

<file path=xl/sharedStrings.xml><?xml version="1.0" encoding="utf-8"?>
<sst xmlns="http://schemas.openxmlformats.org/spreadsheetml/2006/main" count="55" uniqueCount="43">
  <si>
    <t>Gross Plant</t>
  </si>
  <si>
    <t>Services</t>
  </si>
  <si>
    <t>Meters</t>
  </si>
  <si>
    <t>Total Gross Plant</t>
  </si>
  <si>
    <t>Depreciation Reserve</t>
  </si>
  <si>
    <t>Total Depreciation Reserve</t>
  </si>
  <si>
    <t>Total Net Plant</t>
  </si>
  <si>
    <t>Operation &amp; Maintenance Expenses</t>
  </si>
  <si>
    <t>Records &amp; Collections</t>
  </si>
  <si>
    <t>Total O &amp; M Expenses</t>
  </si>
  <si>
    <t>Depreciation Expense</t>
  </si>
  <si>
    <t>Total Depreciation Expense</t>
  </si>
  <si>
    <t>Revenue Requirement</t>
  </si>
  <si>
    <t>Interest</t>
  </si>
  <si>
    <t>Equity return</t>
  </si>
  <si>
    <t>Income Tax</t>
  </si>
  <si>
    <t>Revenue For Return</t>
  </si>
  <si>
    <t>O &amp; M Expenses</t>
  </si>
  <si>
    <t>Total Revenue Requirement</t>
  </si>
  <si>
    <t>Number of Customers</t>
  </si>
  <si>
    <t>Number of Bills</t>
  </si>
  <si>
    <t>TOTAL MONTHLY CUSTOMER COST</t>
  </si>
  <si>
    <t>Residential Customer Cost Analysis</t>
  </si>
  <si>
    <t>Meter Reading</t>
  </si>
  <si>
    <t>coc</t>
  </si>
  <si>
    <t>Revenue Requirement Before Excise &amp; WUTC Gross-Up</t>
  </si>
  <si>
    <t>Uncollectible, State Utility Tax &amp; WUTC Fee Gross-Up Factor</t>
  </si>
  <si>
    <t>Meter Installations</t>
  </si>
  <si>
    <t>House Regulators</t>
  </si>
  <si>
    <t>House Regulators Installations</t>
  </si>
  <si>
    <t>Meters &amp; House Regulators - Oper</t>
  </si>
  <si>
    <t>Customer Installations Expenses</t>
  </si>
  <si>
    <t>Maintenance - Services</t>
  </si>
  <si>
    <t>Maintenance-Meters &amp; House Regulators</t>
  </si>
  <si>
    <t>PUGET SOUND ENERGY - NATURAL GAS</t>
  </si>
  <si>
    <t>Debt</t>
  </si>
  <si>
    <t>PSE Proposed</t>
  </si>
  <si>
    <t>PC Proposed</t>
  </si>
  <si>
    <t>PC ROE</t>
  </si>
  <si>
    <t>PSE ROE</t>
  </si>
  <si>
    <t xml:space="preserve"> @ 9.80% ROE</t>
  </si>
  <si>
    <t>Equity</t>
  </si>
  <si>
    <t xml:space="preserve"> @ 8.75% 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</si>
</sst>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&quot;$&quot;#,##0.00"/>
    <numFmt numFmtId="167" formatCode="#,##0.000000"/>
    <numFmt numFmtId="168" formatCode="0.0%"/>
    <numFmt numFmtId="169" formatCode="0.0000000%"/>
    <numFmt numFmtId="170" formatCode="_(&quot;$&quot;* #,##0_);_(&quot;$&quot;* \(#,##0\);_(&quot;$&quot;* &quot;-&quot;??_);_(@_)"/>
    <numFmt numFmtId="181" formatCode="_(* #,##0.0000000_);_(* \(#,##0.000000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3" fillId="2" borderId="0">
      <alignment horizontal="left" wrapText="1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/>
    <xf numFmtId="1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centerContinuous" wrapText="1"/>
    </xf>
    <xf numFmtId="0" fontId="3" fillId="0" borderId="0" xfId="1" applyNumberFormat="1" applyFont="1" applyAlignment="1"/>
    <xf numFmtId="0" fontId="2" fillId="0" borderId="0" xfId="1" applyNumberFormat="1" applyFont="1" applyAlignment="1"/>
    <xf numFmtId="164" fontId="2" fillId="0" borderId="0" xfId="1" applyNumberFormat="1" applyFont="1" applyAlignment="1"/>
    <xf numFmtId="3" fontId="2" fillId="0" borderId="0" xfId="1" applyNumberFormat="1" applyFont="1" applyAlignment="1"/>
    <xf numFmtId="165" fontId="3" fillId="0" borderId="0" xfId="1" applyNumberFormat="1" applyFont="1" applyAlignment="1"/>
    <xf numFmtId="0" fontId="3" fillId="0" borderId="1" xfId="1" applyNumberFormat="1" applyFont="1" applyBorder="1" applyAlignment="1"/>
    <xf numFmtId="165" fontId="3" fillId="0" borderId="1" xfId="1" applyNumberFormat="1" applyFont="1" applyBorder="1" applyAlignment="1"/>
    <xf numFmtId="164" fontId="3" fillId="0" borderId="1" xfId="1" applyNumberFormat="1" applyFont="1" applyBorder="1" applyAlignment="1"/>
    <xf numFmtId="3" fontId="2" fillId="0" borderId="0" xfId="1" applyNumberFormat="1" applyFont="1"/>
    <xf numFmtId="0" fontId="2" fillId="0" borderId="0" xfId="1" applyFont="1"/>
    <xf numFmtId="0" fontId="3" fillId="0" borderId="0" xfId="1" applyNumberFormat="1" applyFont="1" applyAlignment="1">
      <alignment horizontal="center"/>
    </xf>
    <xf numFmtId="0" fontId="3" fillId="0" borderId="0" xfId="1" applyFont="1"/>
    <xf numFmtId="164" fontId="2" fillId="0" borderId="3" xfId="1" applyNumberFormat="1" applyFont="1" applyBorder="1" applyAlignment="1"/>
    <xf numFmtId="0" fontId="2" fillId="0" borderId="2" xfId="1" applyFont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/>
    <xf numFmtId="0" fontId="5" fillId="0" borderId="0" xfId="0" applyFont="1"/>
    <xf numFmtId="0" fontId="2" fillId="0" borderId="3" xfId="1" applyFont="1" applyBorder="1"/>
    <xf numFmtId="0" fontId="5" fillId="0" borderId="3" xfId="0" applyFont="1" applyBorder="1"/>
    <xf numFmtId="164" fontId="5" fillId="0" borderId="0" xfId="0" applyNumberFormat="1" applyFont="1"/>
    <xf numFmtId="10" fontId="5" fillId="0" borderId="0" xfId="2" applyNumberFormat="1" applyFont="1"/>
    <xf numFmtId="0" fontId="6" fillId="0" borderId="3" xfId="0" applyFont="1" applyBorder="1" applyAlignment="1">
      <alignment horizontal="center"/>
    </xf>
    <xf numFmtId="166" fontId="5" fillId="0" borderId="0" xfId="0" applyNumberFormat="1" applyFont="1"/>
    <xf numFmtId="0" fontId="5" fillId="0" borderId="2" xfId="0" applyFont="1" applyBorder="1"/>
    <xf numFmtId="0" fontId="3" fillId="0" borderId="3" xfId="1" applyNumberFormat="1" applyFont="1" applyBorder="1" applyAlignment="1">
      <alignment horizontal="center"/>
    </xf>
    <xf numFmtId="164" fontId="2" fillId="0" borderId="0" xfId="1" applyNumberFormat="1" applyFont="1"/>
    <xf numFmtId="167" fontId="5" fillId="0" borderId="0" xfId="0" applyNumberFormat="1" applyFont="1"/>
    <xf numFmtId="0" fontId="3" fillId="0" borderId="0" xfId="1" applyNumberFormat="1" applyFont="1" applyBorder="1" applyAlignment="1">
      <alignment horizontal="center"/>
    </xf>
    <xf numFmtId="168" fontId="5" fillId="0" borderId="0" xfId="2" applyNumberFormat="1" applyFont="1"/>
    <xf numFmtId="169" fontId="5" fillId="0" borderId="0" xfId="2" applyNumberFormat="1" applyFont="1"/>
    <xf numFmtId="170" fontId="5" fillId="0" borderId="0" xfId="4" applyNumberFormat="1" applyFont="1"/>
    <xf numFmtId="0" fontId="3" fillId="0" borderId="0" xfId="1" applyNumberFormat="1" applyFont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8" fontId="5" fillId="0" borderId="0" xfId="0" applyNumberFormat="1" applyFont="1"/>
    <xf numFmtId="164" fontId="8" fillId="0" borderId="1" xfId="1" applyNumberFormat="1" applyFont="1" applyBorder="1"/>
    <xf numFmtId="170" fontId="5" fillId="0" borderId="3" xfId="4" applyNumberFormat="1" applyFont="1" applyBorder="1"/>
    <xf numFmtId="165" fontId="8" fillId="0" borderId="1" xfId="1" applyNumberFormat="1" applyFont="1" applyBorder="1"/>
    <xf numFmtId="165" fontId="8" fillId="0" borderId="0" xfId="1" applyNumberFormat="1" applyFont="1"/>
    <xf numFmtId="164" fontId="7" fillId="0" borderId="0" xfId="0" applyNumberFormat="1" applyFont="1"/>
    <xf numFmtId="170" fontId="5" fillId="0" borderId="2" xfId="4" applyNumberFormat="1" applyFont="1" applyBorder="1"/>
    <xf numFmtId="166" fontId="7" fillId="0" borderId="0" xfId="0" applyNumberFormat="1" applyFont="1"/>
    <xf numFmtId="3" fontId="9" fillId="0" borderId="0" xfId="1" applyNumberFormat="1" applyFont="1"/>
    <xf numFmtId="181" fontId="5" fillId="0" borderId="0" xfId="5" applyNumberFormat="1" applyFont="1"/>
    <xf numFmtId="0" fontId="6" fillId="0" borderId="0" xfId="0" applyFont="1" applyAlignment="1">
      <alignment horizontal="center"/>
    </xf>
  </cellXfs>
  <cellStyles count="6">
    <cellStyle name="Comma" xfId="5" builtinId="3"/>
    <cellStyle name="Currency" xfId="4" builtinId="4"/>
    <cellStyle name="Normal" xfId="0" builtinId="0"/>
    <cellStyle name="Normal 2" xfId="1" xr:uid="{00000000-0005-0000-0000-000001000000}"/>
    <cellStyle name="Percent" xfId="2" builtinId="5"/>
    <cellStyle name="Title: Minor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72"/>
  <sheetViews>
    <sheetView tabSelected="1" topLeftCell="A41" workbookViewId="0">
      <selection activeCell="C51" sqref="C51"/>
    </sheetView>
  </sheetViews>
  <sheetFormatPr defaultColWidth="9.140625" defaultRowHeight="12.75" x14ac:dyDescent="0.2"/>
  <cols>
    <col min="1" max="1" width="9.140625" style="20"/>
    <col min="2" max="2" width="8" style="20" customWidth="1"/>
    <col min="3" max="3" width="56.7109375" style="20" customWidth="1"/>
    <col min="4" max="4" width="22.28515625" style="20" hidden="1" customWidth="1"/>
    <col min="5" max="5" width="10.7109375" style="20" hidden="1" customWidth="1"/>
    <col min="6" max="6" width="13.85546875" style="20" bestFit="1" customWidth="1"/>
    <col min="7" max="7" width="3.7109375" style="20" customWidth="1"/>
    <col min="8" max="8" width="17.42578125" style="20" customWidth="1"/>
    <col min="9" max="16384" width="9.140625" style="20"/>
  </cols>
  <sheetData>
    <row r="4" spans="1:8" x14ac:dyDescent="0.2">
      <c r="A4" s="14"/>
      <c r="B4" s="3"/>
      <c r="C4" s="3"/>
    </row>
    <row r="5" spans="1:8" ht="15.75" customHeight="1" x14ac:dyDescent="0.2">
      <c r="A5" s="14"/>
      <c r="B5" s="35" t="s">
        <v>34</v>
      </c>
      <c r="C5" s="35"/>
      <c r="D5" s="35"/>
      <c r="E5" s="35"/>
      <c r="F5" s="35"/>
      <c r="G5" s="35"/>
      <c r="H5" s="35"/>
    </row>
    <row r="6" spans="1:8" ht="15.75" customHeight="1" x14ac:dyDescent="0.2">
      <c r="A6" s="14"/>
      <c r="B6" s="36" t="s">
        <v>22</v>
      </c>
      <c r="C6" s="36"/>
      <c r="D6" s="36"/>
      <c r="E6" s="36"/>
      <c r="F6" s="36"/>
      <c r="G6" s="36"/>
      <c r="H6" s="36"/>
    </row>
    <row r="7" spans="1:8" ht="15.75" customHeight="1" x14ac:dyDescent="0.2">
      <c r="A7" s="14"/>
      <c r="B7" s="31"/>
      <c r="C7" s="31"/>
      <c r="D7" s="31"/>
      <c r="F7" s="48" t="s">
        <v>39</v>
      </c>
      <c r="G7" s="48"/>
      <c r="H7" s="48" t="s">
        <v>38</v>
      </c>
    </row>
    <row r="8" spans="1:8" s="22" customFormat="1" x14ac:dyDescent="0.2">
      <c r="A8" s="28"/>
      <c r="B8" s="21"/>
      <c r="C8" s="28"/>
      <c r="D8" s="25"/>
      <c r="F8" s="25" t="s">
        <v>40</v>
      </c>
      <c r="G8" s="25"/>
      <c r="H8" s="25" t="s">
        <v>42</v>
      </c>
    </row>
    <row r="9" spans="1:8" x14ac:dyDescent="0.2">
      <c r="A9" s="14"/>
      <c r="B9" s="4" t="s">
        <v>0</v>
      </c>
      <c r="C9" s="4"/>
    </row>
    <row r="10" spans="1:8" x14ac:dyDescent="0.2">
      <c r="A10" s="1"/>
      <c r="B10" s="2">
        <v>380</v>
      </c>
      <c r="C10" s="5" t="s">
        <v>1</v>
      </c>
      <c r="D10" s="6"/>
      <c r="F10" s="6">
        <v>677007379</v>
      </c>
      <c r="H10" s="34">
        <f>F10</f>
        <v>677007379</v>
      </c>
    </row>
    <row r="11" spans="1:8" x14ac:dyDescent="0.2">
      <c r="A11" s="1"/>
      <c r="B11" s="5">
        <v>381</v>
      </c>
      <c r="C11" s="5" t="s">
        <v>2</v>
      </c>
      <c r="D11" s="6"/>
      <c r="F11" s="6">
        <v>81183803</v>
      </c>
      <c r="H11" s="34">
        <f>F11</f>
        <v>81183803</v>
      </c>
    </row>
    <row r="12" spans="1:8" x14ac:dyDescent="0.2">
      <c r="A12" s="1"/>
      <c r="B12" s="5">
        <v>382</v>
      </c>
      <c r="C12" s="5" t="s">
        <v>27</v>
      </c>
      <c r="D12" s="6"/>
      <c r="F12" s="6">
        <v>169668781</v>
      </c>
      <c r="H12" s="34">
        <f>F12</f>
        <v>169668781</v>
      </c>
    </row>
    <row r="13" spans="1:8" x14ac:dyDescent="0.2">
      <c r="A13" s="1"/>
      <c r="B13" s="5">
        <v>383</v>
      </c>
      <c r="C13" s="5" t="s">
        <v>28</v>
      </c>
      <c r="D13" s="6"/>
      <c r="F13" s="6">
        <v>14036089</v>
      </c>
      <c r="H13" s="34">
        <f>F13</f>
        <v>14036089</v>
      </c>
    </row>
    <row r="14" spans="1:8" x14ac:dyDescent="0.2">
      <c r="A14" s="1"/>
      <c r="B14" s="5">
        <v>384</v>
      </c>
      <c r="C14" s="5" t="s">
        <v>29</v>
      </c>
      <c r="D14" s="6"/>
      <c r="F14" s="6">
        <v>65792882</v>
      </c>
      <c r="H14" s="40">
        <f>F14</f>
        <v>65792882</v>
      </c>
    </row>
    <row r="15" spans="1:8" x14ac:dyDescent="0.2">
      <c r="A15" s="1"/>
      <c r="B15" s="4"/>
      <c r="C15" s="9" t="s">
        <v>3</v>
      </c>
      <c r="D15" s="11"/>
      <c r="F15" s="11">
        <f>SUM(F10:F14)</f>
        <v>1007688934</v>
      </c>
      <c r="H15" s="39">
        <f>SUM(H10:H14)</f>
        <v>1007688934</v>
      </c>
    </row>
    <row r="16" spans="1:8" x14ac:dyDescent="0.2">
      <c r="A16" s="1"/>
      <c r="B16" s="4"/>
      <c r="C16" s="13"/>
      <c r="H16" s="34"/>
    </row>
    <row r="17" spans="1:8" x14ac:dyDescent="0.2">
      <c r="A17" s="14"/>
      <c r="B17" s="4" t="s">
        <v>4</v>
      </c>
      <c r="C17" s="13"/>
      <c r="H17" s="34"/>
    </row>
    <row r="18" spans="1:8" x14ac:dyDescent="0.2">
      <c r="A18" s="14"/>
      <c r="B18" s="4"/>
      <c r="C18" s="5" t="s">
        <v>1</v>
      </c>
      <c r="D18" s="23"/>
      <c r="F18" s="23">
        <v>330675748</v>
      </c>
      <c r="H18" s="34">
        <f>F18</f>
        <v>330675748</v>
      </c>
    </row>
    <row r="19" spans="1:8" x14ac:dyDescent="0.2">
      <c r="A19" s="14"/>
      <c r="B19" s="4"/>
      <c r="C19" s="5" t="s">
        <v>2</v>
      </c>
      <c r="D19" s="23"/>
      <c r="F19" s="23">
        <v>18988585</v>
      </c>
      <c r="H19" s="34">
        <f>F19</f>
        <v>18988585</v>
      </c>
    </row>
    <row r="20" spans="1:8" x14ac:dyDescent="0.2">
      <c r="A20" s="14"/>
      <c r="B20" s="4"/>
      <c r="C20" s="5" t="s">
        <v>27</v>
      </c>
      <c r="D20" s="29"/>
      <c r="F20" s="29">
        <v>49472993</v>
      </c>
      <c r="H20" s="34">
        <f>F20</f>
        <v>49472993</v>
      </c>
    </row>
    <row r="21" spans="1:8" s="23" customFormat="1" x14ac:dyDescent="0.2">
      <c r="A21" s="18"/>
      <c r="B21" s="19"/>
      <c r="C21" s="5" t="s">
        <v>28</v>
      </c>
      <c r="D21" s="6"/>
      <c r="F21" s="6">
        <v>6324747</v>
      </c>
      <c r="H21" s="34">
        <f>F21</f>
        <v>6324747</v>
      </c>
    </row>
    <row r="22" spans="1:8" s="23" customFormat="1" x14ac:dyDescent="0.2">
      <c r="A22" s="18"/>
      <c r="B22" s="19"/>
      <c r="C22" s="5" t="s">
        <v>29</v>
      </c>
      <c r="D22" s="6"/>
      <c r="F22" s="6">
        <v>23399271</v>
      </c>
      <c r="H22" s="40">
        <f>F22</f>
        <v>23399271</v>
      </c>
    </row>
    <row r="23" spans="1:8" x14ac:dyDescent="0.2">
      <c r="A23" s="1"/>
      <c r="B23" s="4"/>
      <c r="C23" s="9" t="s">
        <v>5</v>
      </c>
      <c r="D23" s="10"/>
      <c r="F23" s="10">
        <f>SUM(F18:F22)</f>
        <v>428861344</v>
      </c>
      <c r="H23" s="41">
        <f>SUM(H18:H22)</f>
        <v>428861344</v>
      </c>
    </row>
    <row r="24" spans="1:8" x14ac:dyDescent="0.2">
      <c r="A24" s="1"/>
      <c r="B24" s="4"/>
      <c r="C24" s="13"/>
      <c r="H24" s="34"/>
    </row>
    <row r="25" spans="1:8" x14ac:dyDescent="0.2">
      <c r="A25" s="1"/>
      <c r="B25" s="4" t="s">
        <v>6</v>
      </c>
      <c r="C25" s="13"/>
      <c r="D25" s="8"/>
      <c r="F25" s="8">
        <f>F15-F23</f>
        <v>578827590</v>
      </c>
      <c r="H25" s="42">
        <f>H15-H23</f>
        <v>578827590</v>
      </c>
    </row>
    <row r="26" spans="1:8" x14ac:dyDescent="0.2">
      <c r="A26" s="1"/>
      <c r="B26" s="4"/>
      <c r="C26" s="13"/>
      <c r="H26" s="34"/>
    </row>
    <row r="27" spans="1:8" x14ac:dyDescent="0.2">
      <c r="A27" s="14"/>
      <c r="B27" s="4" t="s">
        <v>7</v>
      </c>
      <c r="C27" s="13"/>
      <c r="H27" s="34"/>
    </row>
    <row r="28" spans="1:8" x14ac:dyDescent="0.2">
      <c r="A28" s="14"/>
      <c r="B28" s="5">
        <v>878</v>
      </c>
      <c r="C28" s="5" t="s">
        <v>30</v>
      </c>
      <c r="D28" s="6"/>
      <c r="F28" s="6">
        <v>2354357</v>
      </c>
      <c r="H28" s="34">
        <f>F28</f>
        <v>2354357</v>
      </c>
    </row>
    <row r="29" spans="1:8" x14ac:dyDescent="0.2">
      <c r="A29" s="14"/>
      <c r="B29" s="5">
        <v>879</v>
      </c>
      <c r="C29" s="5" t="s">
        <v>31</v>
      </c>
      <c r="D29" s="6"/>
      <c r="F29" s="6">
        <v>3296355</v>
      </c>
      <c r="H29" s="34">
        <f>F29</f>
        <v>3296355</v>
      </c>
    </row>
    <row r="30" spans="1:8" x14ac:dyDescent="0.2">
      <c r="A30" s="14"/>
      <c r="B30" s="5">
        <v>892</v>
      </c>
      <c r="C30" s="5" t="s">
        <v>32</v>
      </c>
      <c r="D30" s="6"/>
      <c r="F30" s="6">
        <v>2819044</v>
      </c>
      <c r="H30" s="34">
        <f>F30</f>
        <v>2819044</v>
      </c>
    </row>
    <row r="31" spans="1:8" x14ac:dyDescent="0.2">
      <c r="A31" s="14"/>
      <c r="B31" s="5">
        <v>893</v>
      </c>
      <c r="C31" s="5" t="s">
        <v>33</v>
      </c>
      <c r="D31" s="6"/>
      <c r="F31" s="6">
        <v>859659</v>
      </c>
      <c r="H31" s="34">
        <f>F31</f>
        <v>859659</v>
      </c>
    </row>
    <row r="32" spans="1:8" x14ac:dyDescent="0.2">
      <c r="A32" s="14"/>
      <c r="B32" s="5">
        <v>902</v>
      </c>
      <c r="C32" s="5" t="s">
        <v>23</v>
      </c>
      <c r="D32" s="6"/>
      <c r="F32" s="6">
        <v>130405</v>
      </c>
      <c r="H32" s="34">
        <f>F32</f>
        <v>130405</v>
      </c>
    </row>
    <row r="33" spans="1:8" x14ac:dyDescent="0.2">
      <c r="A33" s="14"/>
      <c r="B33" s="5">
        <v>903</v>
      </c>
      <c r="C33" s="5" t="s">
        <v>8</v>
      </c>
      <c r="D33" s="6"/>
      <c r="F33" s="6">
        <v>10411397</v>
      </c>
      <c r="G33" s="26"/>
      <c r="H33" s="34">
        <f>F33</f>
        <v>10411397</v>
      </c>
    </row>
    <row r="34" spans="1:8" x14ac:dyDescent="0.2">
      <c r="A34" s="1"/>
      <c r="B34" s="4"/>
      <c r="C34" s="9" t="s">
        <v>9</v>
      </c>
      <c r="D34" s="11"/>
      <c r="F34" s="11">
        <f>SUM(F28:F33)</f>
        <v>19871217</v>
      </c>
      <c r="H34" s="39">
        <f>SUM(H28:H33)</f>
        <v>19871217</v>
      </c>
    </row>
    <row r="35" spans="1:8" x14ac:dyDescent="0.2">
      <c r="A35" s="1"/>
      <c r="B35" s="4"/>
      <c r="C35" s="13"/>
      <c r="H35" s="34"/>
    </row>
    <row r="36" spans="1:8" x14ac:dyDescent="0.2">
      <c r="A36" s="1"/>
      <c r="B36" s="4" t="s">
        <v>10</v>
      </c>
      <c r="C36" s="13"/>
      <c r="H36" s="34"/>
    </row>
    <row r="37" spans="1:8" x14ac:dyDescent="0.2">
      <c r="A37" s="1"/>
      <c r="B37" s="4"/>
      <c r="C37" s="5" t="s">
        <v>1</v>
      </c>
      <c r="D37" s="23"/>
      <c r="F37" s="23">
        <f>F10*0.0323</f>
        <v>21867338.341700003</v>
      </c>
      <c r="H37" s="34">
        <f>F37</f>
        <v>21867338.341700003</v>
      </c>
    </row>
    <row r="38" spans="1:8" x14ac:dyDescent="0.2">
      <c r="A38" s="1"/>
      <c r="B38" s="4"/>
      <c r="C38" s="5" t="s">
        <v>2</v>
      </c>
      <c r="F38" s="23">
        <f>F11*0.0407</f>
        <v>3304180.7821</v>
      </c>
      <c r="H38" s="34">
        <f>F38</f>
        <v>3304180.7821</v>
      </c>
    </row>
    <row r="39" spans="1:8" x14ac:dyDescent="0.2">
      <c r="A39" s="1"/>
      <c r="B39" s="4"/>
      <c r="C39" s="5" t="s">
        <v>27</v>
      </c>
      <c r="D39" s="23"/>
      <c r="F39" s="23">
        <f>F12*0.0225</f>
        <v>3817547.5724999998</v>
      </c>
      <c r="H39" s="34">
        <f>F39</f>
        <v>3817547.5724999998</v>
      </c>
    </row>
    <row r="40" spans="1:8" x14ac:dyDescent="0.2">
      <c r="A40" s="1"/>
      <c r="B40" s="5"/>
      <c r="C40" s="5" t="s">
        <v>28</v>
      </c>
      <c r="D40" s="6"/>
      <c r="F40" s="6">
        <f>F21*0.0144</f>
        <v>91076.356799999994</v>
      </c>
      <c r="H40" s="34">
        <f>F40</f>
        <v>91076.356799999994</v>
      </c>
    </row>
    <row r="41" spans="1:8" x14ac:dyDescent="0.2">
      <c r="A41" s="1"/>
      <c r="B41" s="5"/>
      <c r="C41" s="5" t="s">
        <v>29</v>
      </c>
      <c r="D41" s="16"/>
      <c r="F41" s="16">
        <f>F22*0.0181</f>
        <v>423526.80510000006</v>
      </c>
      <c r="H41" s="40">
        <f>F41</f>
        <v>423526.80510000006</v>
      </c>
    </row>
    <row r="42" spans="1:8" x14ac:dyDescent="0.2">
      <c r="A42" s="1"/>
      <c r="B42" s="4"/>
      <c r="C42" s="9" t="s">
        <v>11</v>
      </c>
      <c r="D42" s="23"/>
      <c r="F42" s="23">
        <f>SUM(F37:F41)</f>
        <v>29503669.858200002</v>
      </c>
      <c r="H42" s="43">
        <f>SUM(H37:H41)</f>
        <v>29503669.858200002</v>
      </c>
    </row>
    <row r="43" spans="1:8" x14ac:dyDescent="0.2">
      <c r="A43" s="1"/>
      <c r="B43" s="4"/>
      <c r="C43" s="13"/>
      <c r="H43" s="34"/>
    </row>
    <row r="44" spans="1:8" x14ac:dyDescent="0.2">
      <c r="A44" s="1"/>
      <c r="B44" s="4" t="s">
        <v>12</v>
      </c>
      <c r="C44" s="13"/>
      <c r="H44" s="34"/>
    </row>
    <row r="45" spans="1:8" x14ac:dyDescent="0.2">
      <c r="A45" s="1"/>
      <c r="B45" s="4"/>
      <c r="C45" s="13"/>
      <c r="H45" s="34"/>
    </row>
    <row r="46" spans="1:8" x14ac:dyDescent="0.2">
      <c r="A46" s="1"/>
      <c r="B46" s="4"/>
      <c r="C46" s="5" t="s">
        <v>13</v>
      </c>
      <c r="D46" s="23"/>
      <c r="F46" s="23">
        <f>F25*$G67</f>
        <v>16612351.833000001</v>
      </c>
      <c r="H46" s="34">
        <f>F46</f>
        <v>16612351.833000001</v>
      </c>
    </row>
    <row r="47" spans="1:8" x14ac:dyDescent="0.2">
      <c r="A47" s="1"/>
      <c r="B47" s="4"/>
      <c r="C47" s="5" t="s">
        <v>14</v>
      </c>
      <c r="D47" s="23"/>
      <c r="E47" s="23"/>
      <c r="F47" s="23">
        <f>F25*$G68</f>
        <v>27494310.524999999</v>
      </c>
      <c r="H47" s="34">
        <f>+H25*G72</f>
        <v>26105124.309</v>
      </c>
    </row>
    <row r="48" spans="1:8" x14ac:dyDescent="0.2">
      <c r="A48" s="1"/>
      <c r="B48" s="4"/>
      <c r="C48" s="5" t="s">
        <v>15</v>
      </c>
      <c r="D48" s="23"/>
      <c r="E48" s="26"/>
      <c r="F48" s="23">
        <f>(F47*(0.21/(1-0.21)))</f>
        <v>7308614.1901898719</v>
      </c>
      <c r="H48" s="43">
        <f>(H47*(0.21/(1-0.21)))</f>
        <v>6939336.841632911</v>
      </c>
    </row>
    <row r="49" spans="1:8" x14ac:dyDescent="0.2">
      <c r="A49" s="1"/>
      <c r="B49" s="4"/>
      <c r="C49" s="13"/>
      <c r="D49" s="23"/>
      <c r="F49" s="23"/>
      <c r="H49" s="34"/>
    </row>
    <row r="50" spans="1:8" x14ac:dyDescent="0.2">
      <c r="A50" s="1"/>
      <c r="B50" s="4"/>
      <c r="C50" s="5" t="s">
        <v>16</v>
      </c>
      <c r="D50" s="23"/>
      <c r="F50" s="23">
        <f>SUM(F46:F48)</f>
        <v>51415276.548189864</v>
      </c>
      <c r="H50" s="43">
        <f>SUM(H46:H48)</f>
        <v>49656812.983632915</v>
      </c>
    </row>
    <row r="51" spans="1:8" x14ac:dyDescent="0.2">
      <c r="A51" s="1"/>
      <c r="B51" s="4"/>
      <c r="C51" s="13"/>
      <c r="D51" s="23"/>
      <c r="F51" s="23"/>
      <c r="H51" s="34"/>
    </row>
    <row r="52" spans="1:8" x14ac:dyDescent="0.2">
      <c r="A52" s="1"/>
      <c r="B52" s="4"/>
      <c r="C52" s="5" t="s">
        <v>17</v>
      </c>
      <c r="D52" s="23"/>
      <c r="F52" s="23">
        <f>F34</f>
        <v>19871217</v>
      </c>
      <c r="H52" s="43">
        <f>H34</f>
        <v>19871217</v>
      </c>
    </row>
    <row r="53" spans="1:8" x14ac:dyDescent="0.2">
      <c r="A53" s="1"/>
      <c r="B53" s="4"/>
      <c r="C53" s="5" t="s">
        <v>10</v>
      </c>
      <c r="D53" s="23"/>
      <c r="F53" s="23">
        <f>F42</f>
        <v>29503669.858200002</v>
      </c>
      <c r="H53" s="43">
        <f>H42</f>
        <v>29503669.858200002</v>
      </c>
    </row>
    <row r="54" spans="1:8" x14ac:dyDescent="0.2">
      <c r="A54" s="1"/>
      <c r="B54" s="4"/>
      <c r="C54" s="13"/>
      <c r="D54" s="23"/>
      <c r="F54" s="23"/>
      <c r="H54" s="34"/>
    </row>
    <row r="55" spans="1:8" x14ac:dyDescent="0.2">
      <c r="A55" s="1"/>
      <c r="B55" s="4"/>
      <c r="C55" s="5" t="s">
        <v>25</v>
      </c>
      <c r="D55" s="23"/>
      <c r="F55" s="23">
        <f>SUM(F50:F53)</f>
        <v>100790163.40638986</v>
      </c>
      <c r="H55" s="43">
        <f>SUM(H50:H53)</f>
        <v>99031699.841832921</v>
      </c>
    </row>
    <row r="56" spans="1:8" x14ac:dyDescent="0.2">
      <c r="A56" s="1"/>
      <c r="B56" s="4"/>
      <c r="C56" s="5" t="s">
        <v>26</v>
      </c>
      <c r="D56" s="30"/>
      <c r="F56" s="47">
        <v>0.954538</v>
      </c>
      <c r="G56" s="47"/>
      <c r="H56" s="47">
        <v>0.954538</v>
      </c>
    </row>
    <row r="57" spans="1:8" x14ac:dyDescent="0.2">
      <c r="A57" s="1"/>
      <c r="B57" s="4"/>
      <c r="C57" s="5"/>
      <c r="D57" s="23"/>
      <c r="F57" s="23"/>
      <c r="H57" s="34"/>
    </row>
    <row r="58" spans="1:8" x14ac:dyDescent="0.2">
      <c r="A58" s="1"/>
      <c r="B58" s="4"/>
      <c r="C58" s="9" t="s">
        <v>18</v>
      </c>
      <c r="D58" s="11"/>
      <c r="F58" s="11">
        <f>F55/F56</f>
        <v>105590519.60884728</v>
      </c>
      <c r="H58" s="39">
        <f>H55/H56</f>
        <v>103748305.29725681</v>
      </c>
    </row>
    <row r="59" spans="1:8" x14ac:dyDescent="0.2">
      <c r="A59" s="1"/>
      <c r="B59" s="4"/>
      <c r="C59" s="13"/>
      <c r="H59" s="34"/>
    </row>
    <row r="60" spans="1:8" x14ac:dyDescent="0.2">
      <c r="A60" s="1"/>
      <c r="B60" s="4"/>
      <c r="C60" s="13" t="s">
        <v>19</v>
      </c>
      <c r="D60" s="7"/>
      <c r="F60" s="7">
        <v>772130</v>
      </c>
      <c r="H60" s="46">
        <v>772130</v>
      </c>
    </row>
    <row r="61" spans="1:8" x14ac:dyDescent="0.2">
      <c r="A61" s="1"/>
      <c r="B61" s="4"/>
      <c r="C61" s="5" t="s">
        <v>20</v>
      </c>
      <c r="D61" s="12"/>
      <c r="F61" s="12">
        <f>F60*12</f>
        <v>9265560</v>
      </c>
      <c r="H61" s="46">
        <f>H60*12</f>
        <v>9265560</v>
      </c>
    </row>
    <row r="62" spans="1:8" ht="13.5" thickBot="1" x14ac:dyDescent="0.25">
      <c r="A62" s="1"/>
      <c r="B62" s="4"/>
      <c r="C62" s="17"/>
      <c r="D62" s="27"/>
      <c r="F62" s="27"/>
      <c r="H62" s="44"/>
    </row>
    <row r="63" spans="1:8" ht="13.5" thickTop="1" x14ac:dyDescent="0.2">
      <c r="A63" s="1"/>
      <c r="B63" s="4"/>
      <c r="C63" s="15" t="s">
        <v>21</v>
      </c>
      <c r="D63" s="26"/>
      <c r="F63" s="26">
        <f>F58/F61</f>
        <v>11.396021353145118</v>
      </c>
      <c r="H63" s="45">
        <f>H58/H61</f>
        <v>11.197197503146795</v>
      </c>
    </row>
    <row r="64" spans="1:8" x14ac:dyDescent="0.2">
      <c r="A64" s="1"/>
      <c r="B64" s="4"/>
      <c r="C64" s="13"/>
    </row>
    <row r="65" spans="1:7" x14ac:dyDescent="0.2">
      <c r="A65" s="1"/>
      <c r="B65" s="4"/>
      <c r="C65" s="13"/>
    </row>
    <row r="66" spans="1:7" ht="12.75" customHeight="1" x14ac:dyDescent="0.2">
      <c r="A66" s="1"/>
      <c r="B66" s="4"/>
      <c r="C66" s="13"/>
      <c r="D66" s="13" t="s">
        <v>24</v>
      </c>
      <c r="E66" s="37" t="s">
        <v>36</v>
      </c>
      <c r="F66" s="37"/>
      <c r="G66" s="37"/>
    </row>
    <row r="67" spans="1:7" x14ac:dyDescent="0.2">
      <c r="D67" s="20" t="s">
        <v>35</v>
      </c>
      <c r="E67" s="32">
        <v>0.51500000000000001</v>
      </c>
      <c r="F67" s="24">
        <v>5.57E-2</v>
      </c>
      <c r="G67" s="33">
        <f>ROUND((E67*F67),4)</f>
        <v>2.87E-2</v>
      </c>
    </row>
    <row r="68" spans="1:7" x14ac:dyDescent="0.2">
      <c r="D68" s="20" t="s">
        <v>41</v>
      </c>
      <c r="E68" s="32">
        <v>0.48499999999999999</v>
      </c>
      <c r="F68" s="24">
        <v>9.8000000000000004E-2</v>
      </c>
      <c r="G68" s="33">
        <f>ROUND((E68*F68),4)</f>
        <v>4.7500000000000001E-2</v>
      </c>
    </row>
    <row r="69" spans="1:7" x14ac:dyDescent="0.2">
      <c r="F69" s="24"/>
      <c r="G69" s="24">
        <f>G68+G67</f>
        <v>7.6200000000000004E-2</v>
      </c>
    </row>
    <row r="71" spans="1:7" x14ac:dyDescent="0.2">
      <c r="E71" s="20" t="s">
        <v>37</v>
      </c>
    </row>
    <row r="72" spans="1:7" x14ac:dyDescent="0.2">
      <c r="D72" s="20" t="s">
        <v>41</v>
      </c>
      <c r="E72" s="38">
        <f>+E67</f>
        <v>0.51500000000000001</v>
      </c>
      <c r="F72" s="20">
        <v>8.7499999999999994E-2</v>
      </c>
      <c r="G72" s="33">
        <f>ROUND((E72*F72),4)</f>
        <v>4.5100000000000001E-2</v>
      </c>
    </row>
  </sheetData>
  <mergeCells count="3">
    <mergeCell ref="E66:G66"/>
    <mergeCell ref="B5:H5"/>
    <mergeCell ref="B6:H6"/>
  </mergeCells>
  <printOptions horizontalCentered="1"/>
  <pageMargins left="0.7" right="0.7" top="1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57C4012-2BE1-4FA2-9859-07B2B91B2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396CF-F762-476E-8641-5F64B85708F0}"/>
</file>

<file path=customXml/itemProps3.xml><?xml version="1.0" encoding="utf-8"?>
<ds:datastoreItem xmlns:ds="http://schemas.openxmlformats.org/officeDocument/2006/customXml" ds:itemID="{275F0685-370C-4B08-B087-90A5F246FA55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bb6117c-7237-4594-87be-1a98bf45b026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56D1A78-CF42-45F4-BF54-7449F221A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 Cost</vt:lpstr>
      <vt:lpstr>'Cust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Jenny Dolen</cp:lastModifiedBy>
  <cp:lastPrinted>2019-11-18T20:55:18Z</cp:lastPrinted>
  <dcterms:created xsi:type="dcterms:W3CDTF">2009-08-01T16:42:45Z</dcterms:created>
  <dcterms:modified xsi:type="dcterms:W3CDTF">2019-11-18T20:55:52Z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