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taiecon.sharepoint.com/Cases/19 CASES/1921 Puget Sound - RD/GAW Work/GAW Exhibits &amp; Workpapers/Exhibits.xls/"/>
    </mc:Choice>
  </mc:AlternateContent>
  <xr:revisionPtr revIDLastSave="0" documentId="8_{5A7ADD95-055D-4E17-A282-9A916ED70DE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Sheet1!$A$10:$V$32</definedName>
    <definedName name="_xlnm.Print_Area" localSheetId="0">Sheet1!$A$1:$V$42</definedName>
    <definedName name="_xlnm.Print_Titles" localSheetId="0">Sheet1!$2:$9</definedName>
  </definedNames>
  <calcPr calcId="191029" iterate="1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32" i="1" l="1"/>
  <c r="T31" i="1"/>
  <c r="T30" i="1"/>
  <c r="T28" i="1"/>
  <c r="T27" i="1"/>
  <c r="T26" i="1"/>
  <c r="E28" i="1" l="1"/>
  <c r="E26" i="1"/>
  <c r="E27" i="1"/>
  <c r="E22" i="1"/>
  <c r="E21" i="1"/>
  <c r="E20" i="1"/>
  <c r="E24" i="1"/>
  <c r="E18" i="1"/>
  <c r="E17" i="1"/>
  <c r="E16" i="1"/>
  <c r="E15" i="1"/>
  <c r="E14" i="1"/>
  <c r="E13" i="1"/>
  <c r="E11" i="1"/>
  <c r="E10" i="1"/>
  <c r="K32" i="1" l="1"/>
  <c r="K22" i="1"/>
  <c r="K24" i="1"/>
  <c r="K11" i="1"/>
  <c r="K10" i="1"/>
  <c r="I32" i="1"/>
  <c r="M32" i="1" s="1"/>
  <c r="I31" i="1"/>
  <c r="M31" i="1" s="1"/>
  <c r="I30" i="1"/>
  <c r="M30" i="1" s="1"/>
  <c r="I28" i="1"/>
  <c r="M28" i="1" s="1"/>
  <c r="I27" i="1"/>
  <c r="M27" i="1" s="1"/>
  <c r="I26" i="1"/>
  <c r="M26" i="1" s="1"/>
  <c r="I23" i="1"/>
  <c r="M23" i="1" s="1"/>
  <c r="I22" i="1"/>
  <c r="M22" i="1" s="1"/>
  <c r="I21" i="1"/>
  <c r="M21" i="1" s="1"/>
  <c r="I20" i="1"/>
  <c r="M20" i="1" s="1"/>
  <c r="I24" i="1"/>
  <c r="M24" i="1" s="1"/>
  <c r="I18" i="1"/>
  <c r="M18" i="1" s="1"/>
  <c r="I17" i="1"/>
  <c r="M17" i="1" s="1"/>
  <c r="I16" i="1"/>
  <c r="M16" i="1" s="1"/>
  <c r="I15" i="1"/>
  <c r="M15" i="1" s="1"/>
  <c r="I14" i="1"/>
  <c r="M14" i="1" s="1"/>
  <c r="I13" i="1"/>
  <c r="M13" i="1" s="1"/>
  <c r="I11" i="1"/>
  <c r="M11" i="1" s="1"/>
  <c r="I10" i="1"/>
  <c r="M10" i="1" s="1"/>
  <c r="S32" i="1" l="1"/>
  <c r="S31" i="1"/>
  <c r="S30" i="1"/>
  <c r="S28" i="1"/>
  <c r="S27" i="1"/>
  <c r="S26" i="1"/>
  <c r="S23" i="1"/>
  <c r="S22" i="1"/>
  <c r="S21" i="1"/>
  <c r="S20" i="1"/>
  <c r="S11" i="1"/>
  <c r="S10" i="1"/>
  <c r="T13" i="1"/>
  <c r="V13" i="1" s="1"/>
  <c r="Q13" i="1" l="1"/>
  <c r="S13" i="1" s="1"/>
  <c r="V23" i="1" l="1"/>
  <c r="V20" i="1"/>
  <c r="V30" i="1"/>
  <c r="V26" i="1"/>
  <c r="V27" i="1"/>
  <c r="V31" i="1"/>
  <c r="V28" i="1"/>
  <c r="V21" i="1"/>
  <c r="V32" i="1"/>
  <c r="Q15" i="1"/>
  <c r="S15" i="1" s="1"/>
  <c r="Q24" i="1"/>
  <c r="T16" i="1" l="1"/>
  <c r="V16" i="1" s="1"/>
  <c r="Q16" i="1"/>
  <c r="S16" i="1" s="1"/>
  <c r="T18" i="1"/>
  <c r="V18" i="1" s="1"/>
  <c r="Q18" i="1"/>
  <c r="S18" i="1" s="1"/>
  <c r="T14" i="1"/>
  <c r="V14" i="1" s="1"/>
  <c r="Q14" i="1"/>
  <c r="S14" i="1" s="1"/>
  <c r="T17" i="1"/>
  <c r="V17" i="1" s="1"/>
  <c r="Q17" i="1"/>
  <c r="S17" i="1" s="1"/>
  <c r="T15" i="1"/>
  <c r="V15" i="1" s="1"/>
  <c r="T11" i="1"/>
  <c r="T10" i="1"/>
  <c r="V22" i="1"/>
  <c r="T35" i="1" l="1"/>
  <c r="V10" i="1"/>
  <c r="V24" i="1"/>
  <c r="V11" i="1"/>
  <c r="V35" i="1" l="1"/>
  <c r="T36" i="1" s="1"/>
  <c r="V36" i="1" s="1"/>
</calcChain>
</file>

<file path=xl/sharedStrings.xml><?xml version="1.0" encoding="utf-8"?>
<sst xmlns="http://schemas.openxmlformats.org/spreadsheetml/2006/main" count="95" uniqueCount="62">
  <si>
    <t>Generating Unit</t>
  </si>
  <si>
    <t>Fuel</t>
  </si>
  <si>
    <t>Total</t>
  </si>
  <si>
    <t>Energy</t>
  </si>
  <si>
    <t>Net Investment</t>
  </si>
  <si>
    <t>(1)</t>
  </si>
  <si>
    <t>(2)</t>
  </si>
  <si>
    <t>(3)</t>
  </si>
  <si>
    <t>(5)</t>
  </si>
  <si>
    <t>(6)</t>
  </si>
  <si>
    <t>(7)</t>
  </si>
  <si>
    <t>(8)</t>
  </si>
  <si>
    <t>Coal</t>
  </si>
  <si>
    <t>Gas</t>
  </si>
  <si>
    <t>Gas/Oil</t>
  </si>
  <si>
    <t>Hydro</t>
  </si>
  <si>
    <t>Demand</t>
  </si>
  <si>
    <t>Average</t>
  </si>
  <si>
    <t>PERCENT OF TOTAL</t>
  </si>
  <si>
    <t>Capacity</t>
  </si>
  <si>
    <t>Factor</t>
  </si>
  <si>
    <t>Designation</t>
  </si>
  <si>
    <t xml:space="preserve">(4) </t>
  </si>
  <si>
    <t>Fuel Cost</t>
  </si>
  <si>
    <t>Net</t>
  </si>
  <si>
    <t xml:space="preserve"> MWH</t>
  </si>
  <si>
    <t xml:space="preserve">Crystal Mountain </t>
  </si>
  <si>
    <t>Encogen</t>
  </si>
  <si>
    <t>Ferndale</t>
  </si>
  <si>
    <t>Freddy 1</t>
  </si>
  <si>
    <t>Goldendale</t>
  </si>
  <si>
    <t>Lower Snake River</t>
  </si>
  <si>
    <t xml:space="preserve">Mint Farm </t>
  </si>
  <si>
    <t>Sumas</t>
  </si>
  <si>
    <t>Whitehorn</t>
  </si>
  <si>
    <t>Wild Horse</t>
  </si>
  <si>
    <t>Hopkins Ridge</t>
  </si>
  <si>
    <t xml:space="preserve">Per KwH 2/ </t>
  </si>
  <si>
    <t>Oil</t>
  </si>
  <si>
    <t>Wind</t>
  </si>
  <si>
    <t xml:space="preserve">Base </t>
  </si>
  <si>
    <t xml:space="preserve">Peak </t>
  </si>
  <si>
    <t>Intermediate</t>
  </si>
  <si>
    <t>TOTAL</t>
  </si>
  <si>
    <t>%</t>
  </si>
  <si>
    <t xml:space="preserve">% </t>
  </si>
  <si>
    <t>(MW) 1/</t>
  </si>
  <si>
    <t>PUGET SOUND ENERGY</t>
  </si>
  <si>
    <t>Base-Intermediate-Peak Classification</t>
  </si>
  <si>
    <t>Lower Baker</t>
  </si>
  <si>
    <t>Upper Baker</t>
  </si>
  <si>
    <t>Frederickson</t>
  </si>
  <si>
    <t>Note:  Total Net Investment excludes Other (Battery Storage) and Wild Horse Solar.</t>
  </si>
  <si>
    <t>Produced 1/</t>
  </si>
  <si>
    <t>Investment 1/</t>
  </si>
  <si>
    <t>Colstrip 1 &amp; 2</t>
  </si>
  <si>
    <t>Colstrip 3 &amp; 4</t>
  </si>
  <si>
    <t>Fredonia 3 &amp; 4</t>
  </si>
  <si>
    <t>Fredonia 1 &amp; 2</t>
  </si>
  <si>
    <t>Snoqualmie Plts 1 &amp; 2</t>
  </si>
  <si>
    <t>1/ Per PSE response to PC-DR-168 (provided in Exhibit No. GAW-12).  Note, PSE has removed the confidential designation of this data request.</t>
  </si>
  <si>
    <t>2/ Per PSE response to PC DR-170 (provided in Exhibit No. GAW-12).  Note, PSE has removed the confidential designation of this data request.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</si>
</sst>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#,##0.0000"/>
    <numFmt numFmtId="165" formatCode="&quot;$&quot;#,##0"/>
    <numFmt numFmtId="166" formatCode="&quot;$&quot;#,##0.0000;[Red]&quot;$&quot;#,##0.0000"/>
    <numFmt numFmtId="167" formatCode="&quot;$&quot;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/>
    <xf numFmtId="164" fontId="2" fillId="0" borderId="0" xfId="0" applyNumberFormat="1" applyFont="1"/>
    <xf numFmtId="3" fontId="2" fillId="0" borderId="0" xfId="0" applyNumberFormat="1" applyFont="1"/>
    <xf numFmtId="165" fontId="2" fillId="0" borderId="0" xfId="0" applyNumberFormat="1" applyFont="1"/>
    <xf numFmtId="10" fontId="2" fillId="0" borderId="0" xfId="1" applyNumberFormat="1" applyFont="1"/>
    <xf numFmtId="9" fontId="2" fillId="0" borderId="0" xfId="0" applyNumberFormat="1" applyFont="1"/>
    <xf numFmtId="167" fontId="2" fillId="0" borderId="0" xfId="0" applyNumberFormat="1" applyFont="1"/>
    <xf numFmtId="9" fontId="3" fillId="0" borderId="0" xfId="0" applyNumberFormat="1" applyFont="1"/>
    <xf numFmtId="3" fontId="3" fillId="0" borderId="0" xfId="0" applyNumberFormat="1" applyFont="1"/>
    <xf numFmtId="0" fontId="2" fillId="0" borderId="1" xfId="0" applyFont="1" applyBorder="1"/>
    <xf numFmtId="164" fontId="2" fillId="0" borderId="1" xfId="0" applyNumberFormat="1" applyFont="1" applyBorder="1"/>
    <xf numFmtId="3" fontId="2" fillId="0" borderId="1" xfId="0" applyNumberFormat="1" applyFont="1" applyBorder="1"/>
    <xf numFmtId="9" fontId="2" fillId="0" borderId="1" xfId="0" applyNumberFormat="1" applyFont="1" applyBorder="1"/>
    <xf numFmtId="49" fontId="2" fillId="0" borderId="0" xfId="0" applyNumberFormat="1" applyFont="1" applyAlignment="1">
      <alignment horizontal="center"/>
    </xf>
    <xf numFmtId="37" fontId="2" fillId="0" borderId="0" xfId="0" applyNumberFormat="1" applyFont="1" applyAlignment="1">
      <alignment horizontal="center"/>
    </xf>
    <xf numFmtId="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9" fontId="2" fillId="0" borderId="1" xfId="0" applyNumberFormat="1" applyFont="1" applyBorder="1" applyAlignment="1">
      <alignment horizontal="center"/>
    </xf>
    <xf numFmtId="10" fontId="2" fillId="0" borderId="0" xfId="0" applyNumberFormat="1" applyFont="1"/>
    <xf numFmtId="166" fontId="2" fillId="0" borderId="0" xfId="0" applyNumberFormat="1" applyFont="1"/>
    <xf numFmtId="165" fontId="2" fillId="0" borderId="1" xfId="0" applyNumberFormat="1" applyFont="1" applyBorder="1"/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42"/>
  <sheetViews>
    <sheetView tabSelected="1" zoomScale="115" zoomScaleNormal="115" workbookViewId="0">
      <pane ySplit="8" topLeftCell="A9" activePane="bottomLeft" state="frozen"/>
      <selection pane="bottomLeft" activeCell="I43" sqref="I43"/>
    </sheetView>
  </sheetViews>
  <sheetFormatPr defaultColWidth="9.140625" defaultRowHeight="12" x14ac:dyDescent="0.2"/>
  <cols>
    <col min="1" max="1" width="17.5703125" style="1" customWidth="1"/>
    <col min="2" max="2" width="1" style="1" customWidth="1"/>
    <col min="3" max="3" width="8.42578125" style="1" customWidth="1"/>
    <col min="4" max="4" width="0.85546875" style="1" customWidth="1"/>
    <col min="5" max="5" width="7.7109375" style="1" customWidth="1"/>
    <col min="6" max="6" width="1.7109375" style="1" customWidth="1"/>
    <col min="7" max="7" width="10.5703125" style="2" bestFit="1" customWidth="1"/>
    <col min="8" max="8" width="1" style="1" customWidth="1"/>
    <col min="9" max="9" width="11.140625" style="3" bestFit="1" customWidth="1"/>
    <col min="10" max="10" width="1" style="1" customWidth="1"/>
    <col min="11" max="11" width="12.28515625" style="3" bestFit="1" customWidth="1"/>
    <col min="12" max="12" width="1.140625" style="1" customWidth="1"/>
    <col min="13" max="13" width="10.85546875" style="1" bestFit="1" customWidth="1"/>
    <col min="14" max="14" width="2.140625" style="1" customWidth="1"/>
    <col min="15" max="15" width="11.42578125" style="1" customWidth="1"/>
    <col min="16" max="16" width="1" style="1" customWidth="1"/>
    <col min="17" max="17" width="8" style="6" customWidth="1"/>
    <col min="18" max="18" width="2.140625" style="6" customWidth="1"/>
    <col min="19" max="19" width="8" style="6" customWidth="1"/>
    <col min="20" max="20" width="11.7109375" style="3" bestFit="1" customWidth="1"/>
    <col min="21" max="21" width="1.28515625" style="1" customWidth="1"/>
    <col min="22" max="22" width="10.5703125" style="3" bestFit="1" customWidth="1"/>
    <col min="23" max="23" width="12" style="1" bestFit="1" customWidth="1"/>
    <col min="24" max="26" width="10.85546875" style="1" bestFit="1" customWidth="1"/>
    <col min="27" max="16384" width="9.140625" style="1"/>
  </cols>
  <sheetData>
    <row r="1" spans="1:23" x14ac:dyDescent="0.2">
      <c r="S1" s="8"/>
      <c r="V1" s="9"/>
    </row>
    <row r="2" spans="1:23" ht="15.75" x14ac:dyDescent="0.25">
      <c r="A2" s="27" t="s">
        <v>47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</row>
    <row r="3" spans="1:23" ht="15.75" x14ac:dyDescent="0.25">
      <c r="A3" s="27" t="s">
        <v>48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</row>
    <row r="4" spans="1:23" x14ac:dyDescent="0.2">
      <c r="A4" s="10"/>
      <c r="B4" s="10"/>
      <c r="C4" s="10"/>
      <c r="D4" s="10"/>
      <c r="E4" s="10"/>
      <c r="F4" s="10"/>
      <c r="G4" s="11"/>
      <c r="H4" s="10"/>
      <c r="I4" s="12"/>
      <c r="J4" s="10"/>
      <c r="K4" s="12"/>
      <c r="L4" s="10"/>
      <c r="M4" s="10"/>
      <c r="N4" s="10"/>
      <c r="O4" s="10"/>
      <c r="P4" s="10"/>
      <c r="Q4" s="13"/>
      <c r="R4" s="13"/>
      <c r="S4" s="13"/>
      <c r="T4" s="12"/>
      <c r="U4" s="10"/>
      <c r="V4" s="12"/>
    </row>
    <row r="5" spans="1:23" x14ac:dyDescent="0.2">
      <c r="A5" s="14" t="s">
        <v>5</v>
      </c>
      <c r="B5" s="14"/>
      <c r="C5" s="14" t="s">
        <v>6</v>
      </c>
      <c r="D5" s="14"/>
      <c r="E5" s="14" t="s">
        <v>7</v>
      </c>
      <c r="F5" s="14"/>
      <c r="G5" s="14" t="s">
        <v>22</v>
      </c>
      <c r="H5" s="14"/>
      <c r="I5" s="14" t="s">
        <v>8</v>
      </c>
      <c r="J5" s="14"/>
      <c r="K5" s="14" t="s">
        <v>9</v>
      </c>
      <c r="L5" s="14"/>
      <c r="M5" s="14" t="s">
        <v>10</v>
      </c>
      <c r="N5" s="14"/>
      <c r="O5" s="14" t="s">
        <v>11</v>
      </c>
      <c r="P5" s="14"/>
      <c r="Q5" s="15">
        <v>-9</v>
      </c>
      <c r="R5" s="16"/>
      <c r="S5" s="15">
        <v>-10</v>
      </c>
      <c r="T5" s="15">
        <v>-11</v>
      </c>
      <c r="U5" s="14"/>
      <c r="V5" s="15">
        <v>-12</v>
      </c>
    </row>
    <row r="6" spans="1:23" x14ac:dyDescent="0.2">
      <c r="E6" s="17"/>
      <c r="G6" s="18" t="s">
        <v>17</v>
      </c>
      <c r="I6" s="19" t="s">
        <v>24</v>
      </c>
      <c r="K6" s="19" t="s">
        <v>2</v>
      </c>
    </row>
    <row r="7" spans="1:23" x14ac:dyDescent="0.2">
      <c r="E7" s="17" t="s">
        <v>19</v>
      </c>
      <c r="G7" s="18" t="s">
        <v>23</v>
      </c>
      <c r="I7" s="19" t="s">
        <v>25</v>
      </c>
      <c r="K7" s="19" t="s">
        <v>24</v>
      </c>
      <c r="M7" s="17" t="s">
        <v>19</v>
      </c>
      <c r="N7" s="17"/>
      <c r="Q7" s="16" t="s">
        <v>44</v>
      </c>
      <c r="R7" s="16"/>
      <c r="S7" s="16" t="s">
        <v>45</v>
      </c>
      <c r="T7" s="28" t="s">
        <v>4</v>
      </c>
      <c r="U7" s="28"/>
      <c r="V7" s="28"/>
    </row>
    <row r="8" spans="1:23" x14ac:dyDescent="0.2">
      <c r="A8" s="20" t="s">
        <v>0</v>
      </c>
      <c r="B8" s="10"/>
      <c r="C8" s="20" t="s">
        <v>1</v>
      </c>
      <c r="D8" s="10"/>
      <c r="E8" s="20" t="s">
        <v>46</v>
      </c>
      <c r="F8" s="10"/>
      <c r="G8" s="21" t="s">
        <v>37</v>
      </c>
      <c r="H8" s="10"/>
      <c r="I8" s="22" t="s">
        <v>53</v>
      </c>
      <c r="J8" s="10"/>
      <c r="K8" s="22" t="s">
        <v>54</v>
      </c>
      <c r="L8" s="10"/>
      <c r="M8" s="17" t="s">
        <v>20</v>
      </c>
      <c r="N8" s="17"/>
      <c r="O8" s="20" t="s">
        <v>21</v>
      </c>
      <c r="P8" s="10"/>
      <c r="Q8" s="23" t="s">
        <v>3</v>
      </c>
      <c r="R8" s="23"/>
      <c r="S8" s="23" t="s">
        <v>16</v>
      </c>
      <c r="T8" s="22" t="s">
        <v>3</v>
      </c>
      <c r="U8" s="20"/>
      <c r="V8" s="22" t="s">
        <v>16</v>
      </c>
    </row>
    <row r="10" spans="1:23" x14ac:dyDescent="0.2">
      <c r="A10" s="1" t="s">
        <v>55</v>
      </c>
      <c r="C10" s="1" t="s">
        <v>12</v>
      </c>
      <c r="E10" s="1">
        <f>189+189</f>
        <v>378</v>
      </c>
      <c r="G10" s="2">
        <v>1.7399999999999999E-2</v>
      </c>
      <c r="I10" s="3">
        <f>1760005000/1000</f>
        <v>1760005</v>
      </c>
      <c r="K10" s="4">
        <f>412220077/2</f>
        <v>206110038.5</v>
      </c>
      <c r="L10" s="4"/>
      <c r="M10" s="5">
        <f>+I10/(E10*8760)</f>
        <v>0.53151802324176756</v>
      </c>
      <c r="N10" s="5"/>
      <c r="O10" s="1" t="s">
        <v>40</v>
      </c>
      <c r="P10" s="3"/>
      <c r="Q10" s="24">
        <v>1</v>
      </c>
      <c r="S10" s="24">
        <f>1-Q10</f>
        <v>0</v>
      </c>
      <c r="T10" s="4">
        <f>K10</f>
        <v>206110038.5</v>
      </c>
      <c r="U10" s="4"/>
      <c r="V10" s="4">
        <f>K10-T10</f>
        <v>0</v>
      </c>
    </row>
    <row r="11" spans="1:23" x14ac:dyDescent="0.2">
      <c r="A11" s="1" t="s">
        <v>56</v>
      </c>
      <c r="C11" s="1" t="s">
        <v>12</v>
      </c>
      <c r="E11" s="1">
        <f>217+217</f>
        <v>434</v>
      </c>
      <c r="G11" s="2">
        <v>1.61E-2</v>
      </c>
      <c r="I11" s="3">
        <f>2408479000/1000</f>
        <v>2408479</v>
      </c>
      <c r="K11" s="4">
        <f>412220077/2</f>
        <v>206110038.5</v>
      </c>
      <c r="L11" s="4"/>
      <c r="M11" s="5">
        <f>+I11/(E11*8760)</f>
        <v>0.63350351408791528</v>
      </c>
      <c r="N11" s="5"/>
      <c r="O11" s="1" t="s">
        <v>40</v>
      </c>
      <c r="P11" s="3"/>
      <c r="Q11" s="24">
        <v>1</v>
      </c>
      <c r="S11" s="24">
        <f>1-Q11</f>
        <v>0</v>
      </c>
      <c r="T11" s="4">
        <f>K11</f>
        <v>206110038.5</v>
      </c>
      <c r="U11" s="4"/>
      <c r="V11" s="4">
        <f>K11-T11</f>
        <v>0</v>
      </c>
    </row>
    <row r="12" spans="1:23" x14ac:dyDescent="0.2">
      <c r="K12" s="4"/>
      <c r="L12" s="4"/>
      <c r="M12" s="5"/>
      <c r="N12" s="5"/>
      <c r="P12" s="3"/>
      <c r="T12" s="4"/>
      <c r="U12" s="4"/>
      <c r="V12" s="4"/>
    </row>
    <row r="13" spans="1:23" x14ac:dyDescent="0.2">
      <c r="A13" s="1" t="s">
        <v>30</v>
      </c>
      <c r="C13" s="1" t="s">
        <v>13</v>
      </c>
      <c r="E13" s="1">
        <f>221+94</f>
        <v>315</v>
      </c>
      <c r="G13" s="2">
        <v>2.6700000000000002E-2</v>
      </c>
      <c r="I13" s="3">
        <f>1110133000/1000</f>
        <v>1110133</v>
      </c>
      <c r="K13" s="4">
        <v>116772252</v>
      </c>
      <c r="L13" s="4"/>
      <c r="M13" s="5">
        <f t="shared" ref="M13:M18" si="0">+I13/(E13*8760)</f>
        <v>0.40230956004928609</v>
      </c>
      <c r="N13" s="5"/>
      <c r="O13" s="1" t="s">
        <v>42</v>
      </c>
      <c r="P13" s="3"/>
      <c r="Q13" s="24">
        <f>M13</f>
        <v>0.40230956004928609</v>
      </c>
      <c r="S13" s="24">
        <f t="shared" ref="S13:S32" si="1">1-Q13</f>
        <v>0.59769043995071391</v>
      </c>
      <c r="T13" s="4">
        <f>+M13*K13</f>
        <v>46978593.328084365</v>
      </c>
      <c r="U13" s="4"/>
      <c r="V13" s="4">
        <f t="shared" ref="V13:V18" si="2">K13-T13</f>
        <v>69793658.671915635</v>
      </c>
      <c r="W13" s="7"/>
    </row>
    <row r="14" spans="1:23" x14ac:dyDescent="0.2">
      <c r="A14" s="1" t="s">
        <v>32</v>
      </c>
      <c r="C14" s="1" t="s">
        <v>13</v>
      </c>
      <c r="E14" s="1">
        <f>233+86</f>
        <v>319</v>
      </c>
      <c r="G14" s="2">
        <v>2.6700000000000002E-2</v>
      </c>
      <c r="I14" s="3">
        <f>1362895400/1000</f>
        <v>1362895.4</v>
      </c>
      <c r="K14" s="4">
        <v>102474093</v>
      </c>
      <c r="L14" s="4"/>
      <c r="M14" s="5">
        <f t="shared" si="0"/>
        <v>0.48771682340647854</v>
      </c>
      <c r="N14" s="5"/>
      <c r="O14" s="1" t="s">
        <v>42</v>
      </c>
      <c r="P14" s="3"/>
      <c r="Q14" s="24">
        <f t="shared" ref="Q14:Q18" si="3">M14</f>
        <v>0.48771682340647854</v>
      </c>
      <c r="S14" s="24">
        <f t="shared" si="1"/>
        <v>0.51228317659352141</v>
      </c>
      <c r="T14" s="4">
        <f>+M14*K14</f>
        <v>49978339.119420059</v>
      </c>
      <c r="U14" s="4"/>
      <c r="V14" s="4">
        <f t="shared" si="2"/>
        <v>52495753.880579941</v>
      </c>
    </row>
    <row r="15" spans="1:23" x14ac:dyDescent="0.2">
      <c r="A15" s="1" t="s">
        <v>29</v>
      </c>
      <c r="C15" s="1" t="s">
        <v>13</v>
      </c>
      <c r="E15" s="1">
        <f>90+47</f>
        <v>137</v>
      </c>
      <c r="G15" s="2">
        <v>2.2700000000000001E-2</v>
      </c>
      <c r="I15" s="3">
        <f>353716408/1000</f>
        <v>353716.408</v>
      </c>
      <c r="K15" s="4">
        <v>53290783</v>
      </c>
      <c r="L15" s="4"/>
      <c r="M15" s="5">
        <f t="shared" si="0"/>
        <v>0.29473419991334199</v>
      </c>
      <c r="N15" s="5"/>
      <c r="O15" s="1" t="s">
        <v>42</v>
      </c>
      <c r="P15" s="3"/>
      <c r="Q15" s="24">
        <f t="shared" si="3"/>
        <v>0.29473419991334199</v>
      </c>
      <c r="S15" s="24">
        <f t="shared" si="1"/>
        <v>0.70526580008665807</v>
      </c>
      <c r="T15" s="4">
        <f>M15*K15</f>
        <v>15706616.290260527</v>
      </c>
      <c r="U15" s="4"/>
      <c r="V15" s="4">
        <f t="shared" si="2"/>
        <v>37584166.709739476</v>
      </c>
    </row>
    <row r="16" spans="1:23" x14ac:dyDescent="0.2">
      <c r="A16" s="1" t="s">
        <v>33</v>
      </c>
      <c r="C16" s="1" t="s">
        <v>13</v>
      </c>
      <c r="E16" s="1">
        <f>95+40</f>
        <v>135</v>
      </c>
      <c r="G16" s="2">
        <v>3.0800000000000001E-2</v>
      </c>
      <c r="I16" s="3">
        <f>272158515/1000</f>
        <v>272158.51500000001</v>
      </c>
      <c r="K16" s="4">
        <v>26235457</v>
      </c>
      <c r="L16" s="4"/>
      <c r="M16" s="5">
        <f t="shared" si="0"/>
        <v>0.23013573059360731</v>
      </c>
      <c r="N16" s="5"/>
      <c r="O16" s="1" t="s">
        <v>42</v>
      </c>
      <c r="P16" s="3"/>
      <c r="Q16" s="24">
        <f t="shared" si="3"/>
        <v>0.23013573059360731</v>
      </c>
      <c r="S16" s="24">
        <f t="shared" si="1"/>
        <v>0.76986426940639263</v>
      </c>
      <c r="T16" s="4">
        <f>K16*M16</f>
        <v>6037716.064152169</v>
      </c>
      <c r="U16" s="4"/>
      <c r="V16" s="4">
        <f t="shared" si="2"/>
        <v>20197740.93584783</v>
      </c>
    </row>
    <row r="17" spans="1:22" x14ac:dyDescent="0.2">
      <c r="A17" s="1" t="s">
        <v>28</v>
      </c>
      <c r="C17" s="1" t="s">
        <v>14</v>
      </c>
      <c r="E17" s="1">
        <f>95+95+90</f>
        <v>280</v>
      </c>
      <c r="G17" s="2">
        <v>3.2800000000000003E-2</v>
      </c>
      <c r="I17" s="3">
        <f>660396000/1000</f>
        <v>660396</v>
      </c>
      <c r="K17" s="4">
        <v>51288656</v>
      </c>
      <c r="L17" s="4"/>
      <c r="M17" s="5">
        <f t="shared" si="0"/>
        <v>0.26924168297455969</v>
      </c>
      <c r="N17" s="5"/>
      <c r="O17" s="1" t="s">
        <v>42</v>
      </c>
      <c r="P17" s="3"/>
      <c r="Q17" s="24">
        <f t="shared" si="3"/>
        <v>0.26924168297455969</v>
      </c>
      <c r="S17" s="24">
        <f t="shared" si="1"/>
        <v>0.73075831702544036</v>
      </c>
      <c r="T17" s="4">
        <f>M17*K17</f>
        <v>13809044.058943249</v>
      </c>
      <c r="U17" s="4"/>
      <c r="V17" s="4">
        <f t="shared" si="2"/>
        <v>37479611.941056751</v>
      </c>
    </row>
    <row r="18" spans="1:22" x14ac:dyDescent="0.2">
      <c r="A18" s="1" t="s">
        <v>27</v>
      </c>
      <c r="C18" s="1" t="s">
        <v>14</v>
      </c>
      <c r="E18" s="1">
        <f>40+40+40+50</f>
        <v>170</v>
      </c>
      <c r="G18" s="2">
        <v>3.0200000000000001E-2</v>
      </c>
      <c r="I18" s="3">
        <f>200095000/1000</f>
        <v>200095</v>
      </c>
      <c r="K18" s="4">
        <v>36913316</v>
      </c>
      <c r="L18" s="4"/>
      <c r="M18" s="5">
        <f t="shared" si="0"/>
        <v>0.13436408810099382</v>
      </c>
      <c r="N18" s="5"/>
      <c r="O18" s="1" t="s">
        <v>42</v>
      </c>
      <c r="P18" s="3"/>
      <c r="Q18" s="24">
        <f t="shared" si="3"/>
        <v>0.13436408810099382</v>
      </c>
      <c r="S18" s="24">
        <f t="shared" si="1"/>
        <v>0.86563591189900624</v>
      </c>
      <c r="T18" s="4">
        <f>M18*K18</f>
        <v>4959824.0431238245</v>
      </c>
      <c r="U18" s="4"/>
      <c r="V18" s="4">
        <f t="shared" si="2"/>
        <v>31953491.956876174</v>
      </c>
    </row>
    <row r="19" spans="1:22" x14ac:dyDescent="0.2">
      <c r="K19" s="4"/>
      <c r="L19" s="4"/>
      <c r="M19" s="5"/>
      <c r="N19" s="5"/>
      <c r="P19" s="3"/>
      <c r="T19" s="4"/>
      <c r="U19" s="4"/>
      <c r="V19" s="4"/>
    </row>
    <row r="20" spans="1:22" x14ac:dyDescent="0.2">
      <c r="A20" s="1" t="s">
        <v>51</v>
      </c>
      <c r="C20" s="1" t="s">
        <v>14</v>
      </c>
      <c r="E20" s="1">
        <f>88+88</f>
        <v>176</v>
      </c>
      <c r="G20" s="2">
        <v>0.1036</v>
      </c>
      <c r="I20" s="3">
        <f>29871760/1000</f>
        <v>29871.759999999998</v>
      </c>
      <c r="K20" s="4">
        <v>7373890</v>
      </c>
      <c r="L20" s="4"/>
      <c r="M20" s="5">
        <f>+I20/(E20*8760)</f>
        <v>1.9375103777501037E-2</v>
      </c>
      <c r="N20" s="5"/>
      <c r="O20" s="1" t="s">
        <v>41</v>
      </c>
      <c r="P20" s="3"/>
      <c r="Q20" s="24">
        <v>0</v>
      </c>
      <c r="S20" s="24">
        <f t="shared" si="1"/>
        <v>1</v>
      </c>
      <c r="T20" s="4">
        <v>0</v>
      </c>
      <c r="U20" s="4"/>
      <c r="V20" s="4">
        <f>K20-T20</f>
        <v>7373890</v>
      </c>
    </row>
    <row r="21" spans="1:22" x14ac:dyDescent="0.2">
      <c r="A21" s="1" t="s">
        <v>34</v>
      </c>
      <c r="C21" s="1" t="s">
        <v>14</v>
      </c>
      <c r="E21" s="1">
        <f>84+84</f>
        <v>168</v>
      </c>
      <c r="G21" s="2">
        <v>9.8699999999999996E-2</v>
      </c>
      <c r="I21" s="3">
        <f>28555700/1000</f>
        <v>28555.7</v>
      </c>
      <c r="K21" s="4">
        <v>6547250</v>
      </c>
      <c r="L21" s="4"/>
      <c r="M21" s="5">
        <f>+I21/(E21*8760)</f>
        <v>1.9403470863231138E-2</v>
      </c>
      <c r="N21" s="5"/>
      <c r="O21" s="1" t="s">
        <v>41</v>
      </c>
      <c r="P21" s="3"/>
      <c r="Q21" s="24">
        <v>0</v>
      </c>
      <c r="S21" s="24">
        <f t="shared" si="1"/>
        <v>1</v>
      </c>
      <c r="T21" s="4">
        <v>0</v>
      </c>
      <c r="U21" s="4"/>
      <c r="V21" s="4">
        <f>K21-T21</f>
        <v>6547250</v>
      </c>
    </row>
    <row r="22" spans="1:22" x14ac:dyDescent="0.2">
      <c r="A22" s="1" t="s">
        <v>58</v>
      </c>
      <c r="C22" s="1" t="s">
        <v>14</v>
      </c>
      <c r="E22" s="1">
        <f>129+129</f>
        <v>258</v>
      </c>
      <c r="G22" s="2">
        <v>5.8000000000000003E-2</v>
      </c>
      <c r="I22" s="3">
        <f>120332800/1000</f>
        <v>120332.8</v>
      </c>
      <c r="K22" s="4">
        <f>37989965/2</f>
        <v>18994982.5</v>
      </c>
      <c r="L22" s="4"/>
      <c r="M22" s="5">
        <f>+I22/(E22*8760)</f>
        <v>5.3242717071962056E-2</v>
      </c>
      <c r="N22" s="5"/>
      <c r="O22" s="1" t="s">
        <v>41</v>
      </c>
      <c r="P22" s="3"/>
      <c r="Q22" s="24">
        <v>0</v>
      </c>
      <c r="S22" s="24">
        <f t="shared" si="1"/>
        <v>1</v>
      </c>
      <c r="T22" s="4">
        <v>0</v>
      </c>
      <c r="U22" s="4"/>
      <c r="V22" s="4">
        <f>K22-T22</f>
        <v>18994982.5</v>
      </c>
    </row>
    <row r="23" spans="1:22" x14ac:dyDescent="0.2">
      <c r="A23" s="1" t="s">
        <v>26</v>
      </c>
      <c r="C23" s="1" t="s">
        <v>38</v>
      </c>
      <c r="E23" s="1">
        <v>3</v>
      </c>
      <c r="G23" s="2">
        <v>8.1100000000000005E-2</v>
      </c>
      <c r="I23" s="3">
        <f>70890/1000</f>
        <v>70.89</v>
      </c>
      <c r="K23" s="4">
        <v>1469086</v>
      </c>
      <c r="L23" s="4"/>
      <c r="M23" s="5">
        <f>+I23/(E23*8760)</f>
        <v>2.6974885844748861E-3</v>
      </c>
      <c r="N23" s="5"/>
      <c r="O23" s="1" t="s">
        <v>41</v>
      </c>
      <c r="P23" s="3"/>
      <c r="Q23" s="24">
        <v>0</v>
      </c>
      <c r="S23" s="24">
        <f t="shared" si="1"/>
        <v>1</v>
      </c>
      <c r="T23" s="4">
        <v>0</v>
      </c>
      <c r="U23" s="4"/>
      <c r="V23" s="4">
        <f>K23-T23</f>
        <v>1469086</v>
      </c>
    </row>
    <row r="24" spans="1:22" x14ac:dyDescent="0.2">
      <c r="A24" s="1" t="s">
        <v>57</v>
      </c>
      <c r="C24" s="1" t="s">
        <v>14</v>
      </c>
      <c r="E24" s="1">
        <f>58+58</f>
        <v>116</v>
      </c>
      <c r="G24" s="2">
        <v>3.9E-2</v>
      </c>
      <c r="I24" s="3">
        <f>9119500/1000</f>
        <v>9119.5</v>
      </c>
      <c r="K24" s="4">
        <f>37989965/2</f>
        <v>18994982.5</v>
      </c>
      <c r="L24" s="4"/>
      <c r="M24" s="5">
        <f>+I24/(E24*8760)</f>
        <v>8.9744725240119665E-3</v>
      </c>
      <c r="N24" s="5"/>
      <c r="O24" s="1" t="s">
        <v>41</v>
      </c>
      <c r="P24" s="3"/>
      <c r="Q24" s="24">
        <f>M24</f>
        <v>8.9744725240119665E-3</v>
      </c>
      <c r="S24" s="24">
        <v>1</v>
      </c>
      <c r="T24" s="4">
        <v>0</v>
      </c>
      <c r="U24" s="4"/>
      <c r="V24" s="4">
        <f>K24-T24</f>
        <v>18994982.5</v>
      </c>
    </row>
    <row r="25" spans="1:22" x14ac:dyDescent="0.2">
      <c r="K25" s="4"/>
      <c r="L25" s="4"/>
      <c r="M25" s="5"/>
      <c r="N25" s="5"/>
      <c r="P25" s="3"/>
      <c r="T25" s="4"/>
      <c r="U25" s="4"/>
      <c r="V25" s="4"/>
    </row>
    <row r="26" spans="1:22" x14ac:dyDescent="0.2">
      <c r="A26" s="1" t="s">
        <v>49</v>
      </c>
      <c r="C26" s="1" t="s">
        <v>15</v>
      </c>
      <c r="E26" s="1">
        <f>85+30</f>
        <v>115</v>
      </c>
      <c r="G26" s="25">
        <v>0</v>
      </c>
      <c r="I26" s="3">
        <f>385262200/1000</f>
        <v>385262.2</v>
      </c>
      <c r="K26" s="4">
        <v>181588475</v>
      </c>
      <c r="L26" s="4"/>
      <c r="M26" s="5">
        <f>+I26/(E26*8760)</f>
        <v>0.38243220170736553</v>
      </c>
      <c r="N26" s="5"/>
      <c r="O26" s="1" t="s">
        <v>15</v>
      </c>
      <c r="P26" s="3"/>
      <c r="Q26" s="24">
        <v>0.37</v>
      </c>
      <c r="S26" s="24">
        <f t="shared" si="1"/>
        <v>0.63</v>
      </c>
      <c r="T26" s="4">
        <f>K26*Q26</f>
        <v>67187735.75</v>
      </c>
      <c r="U26" s="4"/>
      <c r="V26" s="4">
        <f>K26-T26</f>
        <v>114400739.25</v>
      </c>
    </row>
    <row r="27" spans="1:22" x14ac:dyDescent="0.2">
      <c r="A27" s="1" t="s">
        <v>50</v>
      </c>
      <c r="C27" s="1" t="s">
        <v>15</v>
      </c>
      <c r="E27" s="1">
        <f>51+53</f>
        <v>104</v>
      </c>
      <c r="G27" s="25">
        <v>0</v>
      </c>
      <c r="I27" s="3">
        <f>333791180/1000</f>
        <v>333791.18</v>
      </c>
      <c r="K27" s="4">
        <v>80655174</v>
      </c>
      <c r="L27" s="4"/>
      <c r="M27" s="5">
        <f>+I27/(E27*8760)</f>
        <v>0.36638476905514578</v>
      </c>
      <c r="N27" s="5"/>
      <c r="O27" s="1" t="s">
        <v>15</v>
      </c>
      <c r="P27" s="3"/>
      <c r="Q27" s="24">
        <v>0.37</v>
      </c>
      <c r="S27" s="24">
        <f t="shared" si="1"/>
        <v>0.63</v>
      </c>
      <c r="T27" s="4">
        <f>K27*Q27</f>
        <v>29842414.379999999</v>
      </c>
      <c r="U27" s="4"/>
      <c r="V27" s="4">
        <f>K27-T27</f>
        <v>50812759.620000005</v>
      </c>
    </row>
    <row r="28" spans="1:22" x14ac:dyDescent="0.2">
      <c r="A28" s="1" t="s">
        <v>59</v>
      </c>
      <c r="C28" s="1" t="s">
        <v>15</v>
      </c>
      <c r="E28" s="1">
        <f>2+2+2+2+6+14+26</f>
        <v>54</v>
      </c>
      <c r="G28" s="2">
        <v>0</v>
      </c>
      <c r="I28" s="3">
        <f>+(68320000+127167000)/1000</f>
        <v>195487</v>
      </c>
      <c r="K28" s="4">
        <v>284421777</v>
      </c>
      <c r="L28" s="4"/>
      <c r="M28" s="5">
        <f>+I28/(E28*8760)</f>
        <v>0.41325680703534584</v>
      </c>
      <c r="N28" s="5"/>
      <c r="O28" s="1" t="s">
        <v>15</v>
      </c>
      <c r="P28" s="3"/>
      <c r="Q28" s="24">
        <v>0.37</v>
      </c>
      <c r="S28" s="24">
        <f t="shared" si="1"/>
        <v>0.63</v>
      </c>
      <c r="T28" s="4">
        <f>K28*Q28</f>
        <v>105236057.48999999</v>
      </c>
      <c r="U28" s="4"/>
      <c r="V28" s="4">
        <f>K28-T28</f>
        <v>179185719.50999999</v>
      </c>
    </row>
    <row r="29" spans="1:22" x14ac:dyDescent="0.2">
      <c r="K29" s="4"/>
      <c r="L29" s="4"/>
      <c r="M29" s="5"/>
      <c r="N29" s="5"/>
      <c r="P29" s="3"/>
      <c r="T29" s="4"/>
      <c r="U29" s="4"/>
      <c r="V29" s="4"/>
    </row>
    <row r="30" spans="1:22" x14ac:dyDescent="0.2">
      <c r="A30" s="1" t="s">
        <v>36</v>
      </c>
      <c r="C30" s="1" t="s">
        <v>39</v>
      </c>
      <c r="E30" s="1">
        <v>157</v>
      </c>
      <c r="G30" s="25">
        <v>0</v>
      </c>
      <c r="I30" s="3">
        <f>410912792/1000</f>
        <v>410912.79200000002</v>
      </c>
      <c r="K30" s="4">
        <v>101304116</v>
      </c>
      <c r="L30" s="4"/>
      <c r="M30" s="5">
        <f>+I30/(E30*8760)</f>
        <v>0.29877613355437282</v>
      </c>
      <c r="N30" s="5"/>
      <c r="O30" s="1" t="s">
        <v>39</v>
      </c>
      <c r="P30" s="3"/>
      <c r="Q30" s="24">
        <v>0.79</v>
      </c>
      <c r="S30" s="24">
        <f t="shared" si="1"/>
        <v>0.20999999999999996</v>
      </c>
      <c r="T30" s="4">
        <f>K30*Q30</f>
        <v>80030251.640000001</v>
      </c>
      <c r="U30" s="4"/>
      <c r="V30" s="4">
        <f>K30-T30</f>
        <v>21273864.359999999</v>
      </c>
    </row>
    <row r="31" spans="1:22" x14ac:dyDescent="0.2">
      <c r="A31" s="1" t="s">
        <v>31</v>
      </c>
      <c r="C31" s="1" t="s">
        <v>39</v>
      </c>
      <c r="E31" s="1">
        <v>343</v>
      </c>
      <c r="G31" s="25">
        <v>0</v>
      </c>
      <c r="I31" s="3">
        <f>882776646/1000</f>
        <v>882776.64599999995</v>
      </c>
      <c r="K31" s="4">
        <v>509712402</v>
      </c>
      <c r="L31" s="4"/>
      <c r="M31" s="5">
        <f>+I31/(E31*8760)</f>
        <v>0.29380055313710612</v>
      </c>
      <c r="N31" s="5"/>
      <c r="O31" s="1" t="s">
        <v>39</v>
      </c>
      <c r="P31" s="3"/>
      <c r="Q31" s="24">
        <v>0.79</v>
      </c>
      <c r="S31" s="24">
        <f t="shared" si="1"/>
        <v>0.20999999999999996</v>
      </c>
      <c r="T31" s="4">
        <f>K31*Q31</f>
        <v>402672797.58000004</v>
      </c>
      <c r="U31" s="4"/>
      <c r="V31" s="4">
        <f>K31-T31</f>
        <v>107039604.41999996</v>
      </c>
    </row>
    <row r="32" spans="1:22" x14ac:dyDescent="0.2">
      <c r="A32" s="1" t="s">
        <v>35</v>
      </c>
      <c r="C32" s="1" t="s">
        <v>39</v>
      </c>
      <c r="E32" s="1">
        <v>273</v>
      </c>
      <c r="G32" s="2">
        <v>0</v>
      </c>
      <c r="I32" s="3">
        <f>638688501/1000</f>
        <v>638688.50100000005</v>
      </c>
      <c r="K32" s="4">
        <f>2172811+49449809+216370714-2172811</f>
        <v>265820523</v>
      </c>
      <c r="L32" s="4"/>
      <c r="M32" s="5">
        <f>+I32/(E32*8760)</f>
        <v>0.26706830121932862</v>
      </c>
      <c r="N32" s="5"/>
      <c r="O32" s="1" t="s">
        <v>39</v>
      </c>
      <c r="P32" s="3"/>
      <c r="Q32" s="24">
        <v>0.79</v>
      </c>
      <c r="S32" s="24">
        <f t="shared" si="1"/>
        <v>0.20999999999999996</v>
      </c>
      <c r="T32" s="4">
        <f>K32*Q32</f>
        <v>209998213.17000002</v>
      </c>
      <c r="U32" s="4"/>
      <c r="V32" s="4">
        <f>K32-T32</f>
        <v>55822309.829999983</v>
      </c>
    </row>
    <row r="33" spans="1:24" x14ac:dyDescent="0.2">
      <c r="M33" s="3"/>
      <c r="N33" s="3"/>
      <c r="P33" s="3"/>
      <c r="T33" s="26"/>
      <c r="U33" s="4"/>
      <c r="V33" s="26"/>
    </row>
    <row r="34" spans="1:24" x14ac:dyDescent="0.2">
      <c r="M34" s="3"/>
      <c r="N34" s="3"/>
      <c r="P34" s="3"/>
      <c r="T34" s="4"/>
      <c r="U34" s="4"/>
      <c r="V34" s="4"/>
    </row>
    <row r="35" spans="1:24" x14ac:dyDescent="0.2">
      <c r="M35" s="9" t="s">
        <v>43</v>
      </c>
      <c r="N35" s="9"/>
      <c r="P35" s="3"/>
      <c r="T35" s="4">
        <f>SUM(T10:T32)</f>
        <v>1444657679.9139843</v>
      </c>
      <c r="U35" s="4"/>
      <c r="V35" s="4">
        <f>SUM(V10:V32)</f>
        <v>831419612.0860157</v>
      </c>
      <c r="X35" s="3"/>
    </row>
    <row r="36" spans="1:24" x14ac:dyDescent="0.2">
      <c r="M36" s="9" t="s">
        <v>18</v>
      </c>
      <c r="N36" s="9"/>
      <c r="P36" s="3"/>
      <c r="T36" s="5">
        <f>T35/(T35+V35)</f>
        <v>0.63471380563028101</v>
      </c>
      <c r="U36" s="3"/>
      <c r="V36" s="5">
        <f>1-T36</f>
        <v>0.36528619436971899</v>
      </c>
    </row>
    <row r="37" spans="1:24" x14ac:dyDescent="0.2">
      <c r="A37" s="10"/>
      <c r="B37" s="10"/>
      <c r="C37" s="10"/>
      <c r="D37" s="10"/>
      <c r="E37" s="10"/>
      <c r="F37" s="10"/>
      <c r="G37" s="11"/>
      <c r="H37" s="10"/>
      <c r="I37" s="12"/>
      <c r="J37" s="10"/>
      <c r="K37" s="12"/>
      <c r="L37" s="10"/>
      <c r="M37" s="10"/>
      <c r="N37" s="10"/>
      <c r="O37" s="10"/>
      <c r="P37" s="10"/>
      <c r="Q37" s="13"/>
      <c r="R37" s="13"/>
      <c r="S37" s="13"/>
      <c r="T37" s="12"/>
      <c r="U37" s="10"/>
      <c r="V37" s="12"/>
    </row>
    <row r="39" spans="1:24" x14ac:dyDescent="0.2">
      <c r="A39" s="1" t="s">
        <v>60</v>
      </c>
    </row>
    <row r="40" spans="1:24" x14ac:dyDescent="0.2">
      <c r="A40" s="1" t="s">
        <v>61</v>
      </c>
    </row>
    <row r="42" spans="1:24" x14ac:dyDescent="0.2">
      <c r="A42" s="1" t="s">
        <v>52</v>
      </c>
    </row>
  </sheetData>
  <sortState xmlns:xlrd2="http://schemas.microsoft.com/office/spreadsheetml/2017/richdata2" ref="A9:U27">
    <sortCondition ref="O9:O27"/>
  </sortState>
  <mergeCells count="3">
    <mergeCell ref="A2:V2"/>
    <mergeCell ref="T7:V7"/>
    <mergeCell ref="A3:V3"/>
  </mergeCells>
  <printOptions horizontalCentered="1"/>
  <pageMargins left="0.2" right="0.2" top="0.5" bottom="0.5" header="0.3" footer="0.3"/>
  <pageSetup scale="9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Date1 xmlns="dc463f71-b30c-4ab2-9473-d307f9d35888">2019-12-02T08:00:00+00:00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190529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E7B5CDD1-CD27-4A77-ABE0-D6BC2B682E4C}"/>
</file>

<file path=customXml/itemProps2.xml><?xml version="1.0" encoding="utf-8"?>
<ds:datastoreItem xmlns:ds="http://schemas.openxmlformats.org/officeDocument/2006/customXml" ds:itemID="{EF7BA011-EE25-48D4-8434-6469257C587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ED00CB2-6F65-4818-BCDA-001884D5074D}">
  <ds:schemaRefs>
    <ds:schemaRef ds:uri="http://purl.org/dc/dcmitype/"/>
    <ds:schemaRef ds:uri="http://purl.org/dc/elements/1.1/"/>
    <ds:schemaRef ds:uri="http://www.w3.org/XML/1998/namespace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0bb6117c-7237-4594-87be-1a98bf45b026"/>
  </ds:schemaRefs>
</ds:datastoreItem>
</file>

<file path=customXml/itemProps4.xml><?xml version="1.0" encoding="utf-8"?>
<ds:datastoreItem xmlns:ds="http://schemas.openxmlformats.org/officeDocument/2006/customXml" ds:itemID="{D0734165-5A2A-47D2-8A5D-067CCB15BF4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Susan Crew</dc:creator>
  <cp:lastModifiedBy>Jenny Dolen</cp:lastModifiedBy>
  <cp:lastPrinted>2019-11-18T20:51:46Z</cp:lastPrinted>
  <dcterms:created xsi:type="dcterms:W3CDTF">2017-02-08T15:40:33Z</dcterms:created>
  <dcterms:modified xsi:type="dcterms:W3CDTF">2019-11-19T16:49:33Z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xd_Signature">
    <vt:bool>false</vt:bool>
  </property>
  <property fmtid="{D5CDD505-2E9C-101B-9397-08002B2CF9AE}" pid="4" name="xd_ProgID">
    <vt:lpwstr/>
  </property>
  <property fmtid="{D5CDD505-2E9C-101B-9397-08002B2CF9AE}" pid="5" name="TemplateUrl">
    <vt:lpwstr/>
  </property>
  <property fmtid="{D5CDD505-2E9C-101B-9397-08002B2CF9AE}" pid="6" name="ComplianceAssetId">
    <vt:lpwstr/>
  </property>
  <property fmtid="{D5CDD505-2E9C-101B-9397-08002B2CF9AE}" pid="7" name="_docset_NoMedatataSyncRequired">
    <vt:lpwstr>False</vt:lpwstr>
  </property>
  <property fmtid="{D5CDD505-2E9C-101B-9397-08002B2CF9AE}" pid="8" name="IsEFSEC">
    <vt:bool>false</vt:bool>
  </property>
</Properties>
</file>