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cificorp.us\dfs\PDXCO\PSB1\REGULATN\ER\_2022\Washington\WA 2024-2025 Rate Plan Filing\Rebuttal\Rebuttal Adjustments\Cleaned-up Adjustments\Non-Confidential\"/>
    </mc:Choice>
  </mc:AlternateContent>
  <xr:revisionPtr revIDLastSave="0" documentId="13_ncr:1_{813DD801-C70A-4AC6-B0F8-61A56E46CBE2}" xr6:coauthVersionLast="47" xr6:coauthVersionMax="47" xr10:uidLastSave="{00000000-0000-0000-0000-000000000000}"/>
  <bookViews>
    <workbookView xWindow="-120" yWindow="480" windowWidth="29040" windowHeight="15840" xr2:uid="{49183245-4665-4809-BF48-0C170B9DA575}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  <sheet name="SLC-4 8.12.1" sheetId="7" r:id="rId7"/>
    <sheet name="SLC-5 14.10.1" sheetId="8" r:id="rId8"/>
    <sheet name="SLC-4 8.11.1" sheetId="9" r:id="rId9"/>
    <sheet name="SLC-5 14.9.1" sheetId="10" r:id="rId10"/>
    <sheet name="Table 7" sheetId="12" r:id="rId11"/>
  </sheets>
  <externalReferences>
    <externalReference r:id="rId12"/>
  </externalReferences>
  <definedNames>
    <definedName name="_ftn1" localSheetId="0">'Table 1'!$E$28</definedName>
    <definedName name="_ftn1" localSheetId="1">'Table 2'!$E$20</definedName>
    <definedName name="_xlnm.Print_Area" localSheetId="0">'Table 1'!$E$1:$G$25</definedName>
    <definedName name="_xlnm.Print_Area" localSheetId="1">'Table 2'!$E$1:$G$17</definedName>
    <definedName name="_xlnm.Print_Area" localSheetId="10">'Table 7'!$A$3:$M$138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6" i="12" l="1"/>
  <c r="L126" i="12"/>
  <c r="E127" i="12"/>
  <c r="F127" i="12" s="1"/>
  <c r="L127" i="12"/>
  <c r="M127" i="12" s="1"/>
  <c r="E128" i="12"/>
  <c r="F128" i="12" s="1"/>
  <c r="L128" i="12"/>
  <c r="H147" i="12" s="1"/>
  <c r="E129" i="12"/>
  <c r="F129" i="12" s="1"/>
  <c r="L129" i="12"/>
  <c r="E130" i="12"/>
  <c r="L130" i="12"/>
  <c r="M130" i="12"/>
  <c r="F145" i="12"/>
  <c r="E146" i="12"/>
  <c r="F147" i="12"/>
  <c r="E148" i="12"/>
  <c r="F146" i="12" l="1"/>
  <c r="E147" i="12"/>
  <c r="E150" i="12" s="1"/>
  <c r="E152" i="12" s="1"/>
  <c r="E149" i="12"/>
  <c r="M128" i="12"/>
  <c r="M131" i="12" s="1"/>
  <c r="H146" i="12"/>
  <c r="I147" i="12" s="1"/>
  <c r="M129" i="12"/>
  <c r="G146" i="12"/>
  <c r="G147" i="12"/>
  <c r="H145" i="12"/>
  <c r="H148" i="12"/>
  <c r="F149" i="12"/>
  <c r="F148" i="12"/>
  <c r="H149" i="12"/>
  <c r="F130" i="12"/>
  <c r="F131" i="12" s="1"/>
  <c r="D133" i="12" s="1"/>
  <c r="E134" i="12" s="1"/>
  <c r="E153" i="12" l="1"/>
  <c r="E155" i="12"/>
  <c r="E156" i="12" s="1"/>
  <c r="I146" i="12"/>
  <c r="E136" i="12"/>
  <c r="E137" i="12" s="1"/>
  <c r="I149" i="12"/>
  <c r="I148" i="12"/>
  <c r="I150" i="12" s="1"/>
  <c r="I152" i="12" s="1"/>
  <c r="G148" i="12"/>
  <c r="L133" i="12"/>
  <c r="G149" i="12"/>
  <c r="G150" i="12" s="1"/>
  <c r="G152" i="12" s="1"/>
  <c r="I155" i="12" l="1"/>
  <c r="I156" i="12" s="1"/>
  <c r="I153" i="12"/>
  <c r="G155" i="12"/>
  <c r="G156" i="12" s="1"/>
  <c r="G153" i="12"/>
  <c r="L136" i="12"/>
  <c r="L134" i="12"/>
  <c r="L137" i="12" l="1"/>
  <c r="D11" i="6" l="1"/>
  <c r="D9" i="6"/>
  <c r="C9" i="6"/>
  <c r="B9" i="6"/>
  <c r="D7" i="6"/>
  <c r="D5" i="6"/>
  <c r="C5" i="6"/>
  <c r="B5" i="6"/>
  <c r="U28" i="10"/>
  <c r="U27" i="9"/>
  <c r="D10" i="6"/>
  <c r="C10" i="6"/>
  <c r="B10" i="6"/>
  <c r="D6" i="6"/>
  <c r="C6" i="6"/>
  <c r="B6" i="6"/>
  <c r="U11" i="10"/>
  <c r="S12" i="10"/>
  <c r="U12" i="10"/>
  <c r="E16" i="10"/>
  <c r="S16" i="10" s="1"/>
  <c r="F28" i="10" s="1"/>
  <c r="G28" i="10" s="1"/>
  <c r="F16" i="10"/>
  <c r="G16" i="10"/>
  <c r="H16" i="10"/>
  <c r="I16" i="10"/>
  <c r="J16" i="10"/>
  <c r="K16" i="10"/>
  <c r="L16" i="10"/>
  <c r="M16" i="10"/>
  <c r="N16" i="10"/>
  <c r="U16" i="10" s="1"/>
  <c r="O16" i="10"/>
  <c r="P16" i="10"/>
  <c r="Q16" i="10"/>
  <c r="R16" i="10"/>
  <c r="U20" i="10"/>
  <c r="E21" i="10"/>
  <c r="F21" i="10" s="1"/>
  <c r="F26" i="10"/>
  <c r="G26" i="10" s="1"/>
  <c r="G21" i="10" l="1"/>
  <c r="H21" i="10" s="1"/>
  <c r="I21" i="10" s="1"/>
  <c r="J21" i="10" s="1"/>
  <c r="K21" i="10" s="1"/>
  <c r="L21" i="10" s="1"/>
  <c r="M21" i="10" s="1"/>
  <c r="N21" i="10" s="1"/>
  <c r="O21" i="10" s="1"/>
  <c r="P21" i="10" s="1"/>
  <c r="S21" i="10" l="1"/>
  <c r="F30" i="10" s="1"/>
  <c r="G30" i="10" s="1"/>
  <c r="Q21" i="10"/>
  <c r="R21" i="10" s="1"/>
  <c r="U21" i="10" s="1"/>
  <c r="S12" i="9" l="1"/>
  <c r="U12" i="9"/>
  <c r="E16" i="9"/>
  <c r="S16" i="9" s="1"/>
  <c r="F28" i="9" s="1"/>
  <c r="G28" i="9" s="1"/>
  <c r="F16" i="9"/>
  <c r="G16" i="9"/>
  <c r="H16" i="9"/>
  <c r="U16" i="9" s="1"/>
  <c r="I16" i="9"/>
  <c r="J16" i="9"/>
  <c r="K16" i="9"/>
  <c r="L16" i="9"/>
  <c r="M16" i="9"/>
  <c r="N16" i="9"/>
  <c r="O16" i="9"/>
  <c r="P16" i="9"/>
  <c r="Q16" i="9"/>
  <c r="R16" i="9"/>
  <c r="F26" i="9"/>
  <c r="G26" i="9" s="1"/>
  <c r="E21" i="9" l="1"/>
  <c r="F21" i="9" s="1"/>
  <c r="G21" i="9" l="1"/>
  <c r="H21" i="9" s="1"/>
  <c r="I21" i="9" s="1"/>
  <c r="J21" i="9" s="1"/>
  <c r="K21" i="9" s="1"/>
  <c r="L21" i="9" s="1"/>
  <c r="M21" i="9" s="1"/>
  <c r="N21" i="9" s="1"/>
  <c r="O21" i="9" s="1"/>
  <c r="P21" i="9" s="1"/>
  <c r="Q21" i="9" l="1"/>
  <c r="R21" i="9" s="1"/>
  <c r="U21" i="9" s="1"/>
  <c r="S21" i="9"/>
  <c r="F30" i="9" s="1"/>
  <c r="G30" i="9" s="1"/>
  <c r="U11" i="8" l="1"/>
  <c r="S12" i="8"/>
  <c r="U12" i="8"/>
  <c r="U27" i="8" s="1"/>
  <c r="E16" i="8"/>
  <c r="F16" i="8"/>
  <c r="G16" i="8"/>
  <c r="S16" i="8" s="1"/>
  <c r="F28" i="8" s="1"/>
  <c r="G28" i="8" s="1"/>
  <c r="H16" i="8"/>
  <c r="I16" i="8"/>
  <c r="J16" i="8"/>
  <c r="K16" i="8"/>
  <c r="L16" i="8"/>
  <c r="M16" i="8"/>
  <c r="N16" i="8"/>
  <c r="O16" i="8"/>
  <c r="P16" i="8"/>
  <c r="Q16" i="8"/>
  <c r="R16" i="8"/>
  <c r="U20" i="8"/>
  <c r="E21" i="8"/>
  <c r="F21" i="8"/>
  <c r="G21" i="8" s="1"/>
  <c r="H21" i="8" s="1"/>
  <c r="I21" i="8" s="1"/>
  <c r="J21" i="8" s="1"/>
  <c r="K21" i="8" s="1"/>
  <c r="L21" i="8" s="1"/>
  <c r="M21" i="8" s="1"/>
  <c r="N21" i="8" s="1"/>
  <c r="O21" i="8" s="1"/>
  <c r="P21" i="8" s="1"/>
  <c r="S21" i="8" l="1"/>
  <c r="F30" i="8" s="1"/>
  <c r="G30" i="8" s="1"/>
  <c r="Q21" i="8"/>
  <c r="R21" i="8" s="1"/>
  <c r="F26" i="8"/>
  <c r="G26" i="8" s="1"/>
  <c r="U21" i="8"/>
  <c r="U16" i="8"/>
  <c r="Q12" i="7" l="1"/>
  <c r="R12" i="7"/>
  <c r="U12" i="7" s="1"/>
  <c r="U28" i="7" s="1"/>
  <c r="S12" i="7"/>
  <c r="F26" i="7" s="1"/>
  <c r="G26" i="7" s="1"/>
  <c r="E16" i="7"/>
  <c r="F16" i="7"/>
  <c r="S16" i="7" s="1"/>
  <c r="F28" i="7" s="1"/>
  <c r="G28" i="7" s="1"/>
  <c r="G16" i="7"/>
  <c r="H16" i="7"/>
  <c r="I16" i="7"/>
  <c r="J16" i="7"/>
  <c r="K16" i="7"/>
  <c r="L16" i="7"/>
  <c r="M16" i="7"/>
  <c r="N16" i="7"/>
  <c r="O16" i="7"/>
  <c r="P16" i="7"/>
  <c r="Q16" i="7"/>
  <c r="R16" i="7"/>
  <c r="E21" i="7"/>
  <c r="F21" i="7"/>
  <c r="G21" i="7"/>
  <c r="H21" i="7" s="1"/>
  <c r="I21" i="7" s="1"/>
  <c r="J21" i="7" s="1"/>
  <c r="K21" i="7" s="1"/>
  <c r="L21" i="7" s="1"/>
  <c r="M21" i="7" s="1"/>
  <c r="N21" i="7" s="1"/>
  <c r="O21" i="7" s="1"/>
  <c r="P21" i="7" s="1"/>
  <c r="S21" i="7" l="1"/>
  <c r="F30" i="7" s="1"/>
  <c r="G30" i="7" s="1"/>
  <c r="Q21" i="7"/>
  <c r="R21" i="7" s="1"/>
  <c r="U21" i="7"/>
  <c r="U16" i="7"/>
  <c r="E16" i="5" l="1"/>
  <c r="C16" i="5"/>
  <c r="H15" i="5"/>
  <c r="F15" i="5"/>
  <c r="I15" i="5" s="1"/>
  <c r="H14" i="5"/>
  <c r="F14" i="5"/>
  <c r="I14" i="5" s="1"/>
  <c r="H13" i="5"/>
  <c r="F13" i="5"/>
  <c r="I13" i="5" s="1"/>
  <c r="H12" i="5"/>
  <c r="F12" i="5"/>
  <c r="I12" i="5" s="1"/>
  <c r="H11" i="5"/>
  <c r="F11" i="5"/>
  <c r="I11" i="5" s="1"/>
  <c r="H10" i="5"/>
  <c r="F10" i="5"/>
  <c r="I10" i="5" s="1"/>
  <c r="H9" i="5"/>
  <c r="F9" i="5"/>
  <c r="I9" i="5" s="1"/>
  <c r="H8" i="5"/>
  <c r="F8" i="5"/>
  <c r="I8" i="5" s="1"/>
  <c r="H7" i="5"/>
  <c r="F7" i="5"/>
  <c r="I7" i="5" s="1"/>
  <c r="H6" i="5"/>
  <c r="F6" i="5"/>
  <c r="I6" i="5" s="1"/>
  <c r="H5" i="5"/>
  <c r="F5" i="5"/>
  <c r="H18" i="5" l="1"/>
  <c r="H19" i="5" s="1"/>
  <c r="F16" i="5"/>
  <c r="I5" i="5"/>
  <c r="I18" i="5" s="1"/>
  <c r="I19" i="5" s="1"/>
  <c r="D7" i="4"/>
  <c r="C7" i="4"/>
  <c r="B7" i="4"/>
  <c r="D6" i="4"/>
  <c r="D5" i="4"/>
  <c r="C6" i="4"/>
  <c r="C5" i="4"/>
  <c r="C11" i="3" l="1"/>
  <c r="B11" i="3"/>
  <c r="G15" i="2"/>
  <c r="B13" i="2"/>
  <c r="B15" i="2" s="1"/>
  <c r="G13" i="2"/>
  <c r="G12" i="2"/>
  <c r="G11" i="2"/>
  <c r="G10" i="2"/>
  <c r="G9" i="2"/>
  <c r="G8" i="2"/>
  <c r="G7" i="2"/>
  <c r="G6" i="2"/>
  <c r="B18" i="1"/>
  <c r="G3" i="2"/>
  <c r="G2" i="2"/>
  <c r="G22" i="1"/>
  <c r="G21" i="1"/>
  <c r="G20" i="1"/>
  <c r="G19" i="1"/>
  <c r="G18" i="1"/>
  <c r="G17" i="1"/>
  <c r="G16" i="1"/>
  <c r="G15" i="1"/>
  <c r="G14" i="1"/>
  <c r="G23" i="1" s="1"/>
  <c r="G8" i="1"/>
  <c r="G7" i="1"/>
  <c r="G6" i="1"/>
  <c r="G9" i="1" s="1"/>
  <c r="G3" i="1"/>
  <c r="G2" i="1"/>
  <c r="G11" i="1" s="1"/>
  <c r="G17" i="2" l="1"/>
  <c r="G25" i="1"/>
</calcChain>
</file>

<file path=xl/sharedStrings.xml><?xml version="1.0" encoding="utf-8"?>
<sst xmlns="http://schemas.openxmlformats.org/spreadsheetml/2006/main" count="969" uniqueCount="199">
  <si>
    <t>Cost of Debt/Return on Equity Update</t>
  </si>
  <si>
    <t>Labor Union updates and corrections</t>
  </si>
  <si>
    <t>JB 1&amp;2 O&amp;M</t>
  </si>
  <si>
    <t>NPC, PTC &amp; Wyoming Wind Tax Update</t>
  </si>
  <si>
    <t>Premium Update</t>
  </si>
  <si>
    <t>Capital Project Updates &amp; Removals</t>
  </si>
  <si>
    <t>Labor Day Correction</t>
  </si>
  <si>
    <t>Jim Bridger 1/2 Rate Base</t>
  </si>
  <si>
    <t>Regulatory Asset Amortization - Corrections &amp; Update</t>
  </si>
  <si>
    <t>Reclamation Costs Update</t>
  </si>
  <si>
    <t>Production Factor and State Deferred Tax Sync</t>
  </si>
  <si>
    <t>Jim Bridger 3/4 + Colstrip Update</t>
  </si>
  <si>
    <t>Filed Revenue Requirement (Direct)</t>
  </si>
  <si>
    <t>Actuarial Update</t>
  </si>
  <si>
    <t>Table 1  - RY1 Revenue Requirement Changes ($million)</t>
  </si>
  <si>
    <t>Filed Revenue Requirement for Year 1</t>
  </si>
  <si>
    <t>Cost of Debt &amp; ROE Update</t>
  </si>
  <si>
    <t>Adjustments Accepted or Partially Accepted by Company in Rebuttal</t>
  </si>
  <si>
    <t>Labor Union Wages Updates &amp; Corrections</t>
  </si>
  <si>
    <t>Update to Latest Actuarial Report</t>
  </si>
  <si>
    <t>Jim Bridger Units 1 &amp; 2 – Post Gas-Conversion O&amp;M</t>
  </si>
  <si>
    <t>Total Impact of Adjustments Accepted</t>
  </si>
  <si>
    <t>Revised Revenue Requirement</t>
  </si>
  <si>
    <t>Adjustments Revised by the Company in Rebuttal</t>
  </si>
  <si>
    <t>Net Power Costs, Production Tax Credits &amp; Wyoming Wind Tax Update</t>
  </si>
  <si>
    <t>Insurance Liability Premiums Update</t>
  </si>
  <si>
    <t xml:space="preserve">Capital Project Updates &amp; Removals (excl. Jim Bridger &amp; Colstrip) </t>
  </si>
  <si>
    <t>Labor Day Restoration Costs Removal Correction</t>
  </si>
  <si>
    <t>Jim Bridger Gas Conversion Capital Costs Update</t>
  </si>
  <si>
    <t>Bridger Mine Reclamation and Unrecovered Investment Costs Update</t>
  </si>
  <si>
    <t>Production Factor and State Deferred Tax Synchronization</t>
  </si>
  <si>
    <t>Jim Bridger Units 3 &amp; 4, Colstrip Unit 4 Capital Costs Update</t>
  </si>
  <si>
    <t>Total Impact of Adjustments Updated</t>
  </si>
  <si>
    <t>Rebuttal Revenue Requirement – Year 1</t>
  </si>
  <si>
    <t>Regulatory Asset and Liabilities Amortization Update</t>
  </si>
  <si>
    <t>Income Tax impacts from RY1 changes</t>
  </si>
  <si>
    <t>Capital Projects Updates &amp; Removals</t>
  </si>
  <si>
    <t>Jim Bridger 1&amp;2 O&amp;M</t>
  </si>
  <si>
    <t>Regulatory Asset Amortization - Corrections &amp; Updates</t>
  </si>
  <si>
    <t>State Deferred and PowerTax Updates</t>
  </si>
  <si>
    <t>Jim Bridger 1&amp;2 Rate Base</t>
  </si>
  <si>
    <t>JB 3&amp;4/Colstrip Update</t>
  </si>
  <si>
    <t>Decommissioning</t>
  </si>
  <si>
    <t>Rebuttal Revenue Requirement RY1</t>
  </si>
  <si>
    <t>Filed Revenue Requirement for Year 2</t>
  </si>
  <si>
    <t>Table 2  - RY2 Revenue Requirement Changes ($million)</t>
  </si>
  <si>
    <t>Change from Year 1 Revenue Requirement Update</t>
  </si>
  <si>
    <t>Jim Bridger 1 &amp; 2 - Post Gas-Conversion O&amp;M</t>
  </si>
  <si>
    <t>Tax Synchronizations</t>
  </si>
  <si>
    <t>Jim Bridger Gas Converstion Capital Costs Update</t>
  </si>
  <si>
    <t>Labor Union Wages Update &amp; Corrections</t>
  </si>
  <si>
    <t>Total Impact of Revisions</t>
  </si>
  <si>
    <t>Labor (GWI) Changes</t>
  </si>
  <si>
    <t>Rebuttal Revenue Requirement for RY2</t>
  </si>
  <si>
    <t>Revenue Requirement
Impact</t>
  </si>
  <si>
    <t>Update/Correction</t>
  </si>
  <si>
    <t>Rate Year 1</t>
  </si>
  <si>
    <t>Impact ($000)</t>
  </si>
  <si>
    <t xml:space="preserve">Rate Year 2 </t>
  </si>
  <si>
    <t>UMWA 197 Escalation %</t>
  </si>
  <si>
    <t>IBEW 57 Effective Date</t>
  </si>
  <si>
    <t>Pension Service Expense Correction</t>
  </si>
  <si>
    <t>Post-retirement Service Expense Correction</t>
  </si>
  <si>
    <t>WCC Correction</t>
  </si>
  <si>
    <t>Updated Actuarial</t>
  </si>
  <si>
    <t>Table 3- Revenue Requirement Impact of GWI Updates</t>
  </si>
  <si>
    <t>Net Impact to Adj. 4.3/13.2 ($000)</t>
  </si>
  <si>
    <t>Washington Allocated</t>
  </si>
  <si>
    <t>FERC</t>
  </si>
  <si>
    <t>As Filed</t>
  </si>
  <si>
    <t>Corrected</t>
  </si>
  <si>
    <t>Change</t>
  </si>
  <si>
    <t>Table 4 - Summary of Net Plant Changes to Labor Day Restoration Removal</t>
  </si>
  <si>
    <t>Ref Exh. SLC-4</t>
  </si>
  <si>
    <t>Page 8.8</t>
  </si>
  <si>
    <t>Net Plant</t>
  </si>
  <si>
    <t>A</t>
  </si>
  <si>
    <t>B</t>
  </si>
  <si>
    <t>C</t>
  </si>
  <si>
    <t>D</t>
  </si>
  <si>
    <t>E = (D-B)</t>
  </si>
  <si>
    <t>F = (C-A)/A</t>
  </si>
  <si>
    <t>G = E/B</t>
  </si>
  <si>
    <t>Year</t>
  </si>
  <si>
    <t>% approved</t>
  </si>
  <si>
    <t>$ approved</t>
  </si>
  <si>
    <t>% paid</t>
  </si>
  <si>
    <t>$ paid</t>
  </si>
  <si>
    <t>$ difference</t>
  </si>
  <si>
    <t>relative difference between % approved and % paid</t>
  </si>
  <si>
    <t>relative difference between $ approved and $ paid</t>
  </si>
  <si>
    <t>TOTAL</t>
  </si>
  <si>
    <t>(H) Average Annual Variance</t>
  </si>
  <si>
    <t>(I = 3.50% x (1+H)) Revised Annual Escalation Rate</t>
  </si>
  <si>
    <t>*Columns A through F are from Exhibit AMT-4 sponsored by Staff witness Tellez</t>
  </si>
  <si>
    <t>Table 5 - Wage Expenses for Non-union Employees</t>
  </si>
  <si>
    <t>December 2024 AMA</t>
  </si>
  <si>
    <t>Gross Plant</t>
  </si>
  <si>
    <t>February 2025 AMA</t>
  </si>
  <si>
    <t>Variance</t>
  </si>
  <si>
    <t>Wind – RY1</t>
  </si>
  <si>
    <t>Transmission – RY1</t>
  </si>
  <si>
    <t>Total Variance – RY1</t>
  </si>
  <si>
    <t>Wind – RY2</t>
  </si>
  <si>
    <t>Transmission – RY2</t>
  </si>
  <si>
    <t>Total Variance – RY2</t>
  </si>
  <si>
    <t>*Composite Depreciation Rate - Trans</t>
  </si>
  <si>
    <t>Ref. 8.12</t>
  </si>
  <si>
    <t>108TP</t>
  </si>
  <si>
    <t>403TP</t>
  </si>
  <si>
    <t>Adjustment</t>
  </si>
  <si>
    <t>Dec 2024</t>
  </si>
  <si>
    <t>Jun 2022</t>
  </si>
  <si>
    <t>AMA</t>
  </si>
  <si>
    <t>12 ME</t>
  </si>
  <si>
    <t>SG</t>
  </si>
  <si>
    <t>Transmission Plant</t>
  </si>
  <si>
    <t>Factor</t>
  </si>
  <si>
    <t>Account</t>
  </si>
  <si>
    <t>Depreciation Reserve</t>
  </si>
  <si>
    <t>12 ME Dec 25</t>
  </si>
  <si>
    <t>12 ME Dec 24</t>
  </si>
  <si>
    <t>Depreciation Expense*</t>
  </si>
  <si>
    <t>Electric Plant in Service</t>
  </si>
  <si>
    <t>GATEWAY TRANSMISSION CAPITAL ADDITIONS</t>
  </si>
  <si>
    <t>Ref. 14.10</t>
  </si>
  <si>
    <t>Dec 2025</t>
  </si>
  <si>
    <t>12 ME Dec 26</t>
  </si>
  <si>
    <t>NEW WIND CAPITAL ADDITIONS</t>
  </si>
  <si>
    <t>*Composite Depreciation Rate - Wind</t>
  </si>
  <si>
    <t>Ref. 8.11</t>
  </si>
  <si>
    <t>108OP</t>
  </si>
  <si>
    <t>403OP</t>
  </si>
  <si>
    <t>SG-W</t>
  </si>
  <si>
    <t>Other Plant Wind</t>
  </si>
  <si>
    <t>12 ME Feb 25</t>
  </si>
  <si>
    <t>Exh. SLC-4</t>
  </si>
  <si>
    <t>Ref 8.11.1</t>
  </si>
  <si>
    <t>Ref. 14.9</t>
  </si>
  <si>
    <t>Table 6 – AMA Rate Base for Major Capital Projects in RY1 and RY2</t>
  </si>
  <si>
    <t xml:space="preserve">Adjustment </t>
  </si>
  <si>
    <t>Rate Year 2</t>
  </si>
  <si>
    <t>Average</t>
  </si>
  <si>
    <t>12 ME June 2023</t>
  </si>
  <si>
    <t>12 ME June 2022</t>
  </si>
  <si>
    <t>12 ME June 2021</t>
  </si>
  <si>
    <t>12 ME June 2020</t>
  </si>
  <si>
    <t>12 ME June 2019</t>
  </si>
  <si>
    <t>% Change</t>
  </si>
  <si>
    <t>GL 301864 (Pole Attachment Contract Revenues)</t>
  </si>
  <si>
    <t>AWEC Proposal Corrected</t>
  </si>
  <si>
    <t>FERC 454.1
(AWEC Data Request 84)</t>
  </si>
  <si>
    <t>YE June 2023</t>
  </si>
  <si>
    <t>YE June 2022</t>
  </si>
  <si>
    <t>YE June 2021</t>
  </si>
  <si>
    <t>Test Period</t>
  </si>
  <si>
    <t>YE June 2020</t>
  </si>
  <si>
    <t>YE June 2019</t>
  </si>
  <si>
    <t xml:space="preserve">Pole Attahc. Rev. </t>
  </si>
  <si>
    <t>2023 Total</t>
  </si>
  <si>
    <t>RENTS - COMMON</t>
  </si>
  <si>
    <t>4541000</t>
  </si>
  <si>
    <t>7</t>
  </si>
  <si>
    <t>6</t>
  </si>
  <si>
    <t>5</t>
  </si>
  <si>
    <t>4</t>
  </si>
  <si>
    <t>3</t>
  </si>
  <si>
    <t>2</t>
  </si>
  <si>
    <t>1</t>
  </si>
  <si>
    <t>2022 Total</t>
  </si>
  <si>
    <t>12</t>
  </si>
  <si>
    <t>11</t>
  </si>
  <si>
    <t>10</t>
  </si>
  <si>
    <t>9</t>
  </si>
  <si>
    <t>8</t>
  </si>
  <si>
    <t>2021 Total</t>
  </si>
  <si>
    <t>2020 Total</t>
  </si>
  <si>
    <t>2019 Total</t>
  </si>
  <si>
    <t>2018 Total</t>
  </si>
  <si>
    <t>2017 Total</t>
  </si>
  <si>
    <t>2016 Total</t>
  </si>
  <si>
    <t>2015 Total</t>
  </si>
  <si>
    <t>FERC Name</t>
  </si>
  <si>
    <t>FERC Account</t>
  </si>
  <si>
    <t>Posting Period</t>
  </si>
  <si>
    <t>Calendar Year</t>
  </si>
  <si>
    <t>FERC 454.1, Pole Attachment Revenues</t>
  </si>
  <si>
    <t>Attach AWEC 084</t>
  </si>
  <si>
    <t>PacifiCorp</t>
  </si>
  <si>
    <t>Attach AWEC 084 REVISED</t>
  </si>
  <si>
    <t>FERC 454.1, Pole Attachment Revenues (GL 301864 only)</t>
  </si>
  <si>
    <t>As provided in WP 230172-AWEC-BGM-PoleAttachmentRev-09-14-2023.xlsx</t>
  </si>
  <si>
    <t>Revised WP 230172-AWEC-BGM-PoleAttachmentRev-09-14-2023.xlsx</t>
  </si>
  <si>
    <t>Table 7 - Pole Attachment Revenues</t>
  </si>
  <si>
    <t>Washington 2023 General Rate Case</t>
  </si>
  <si>
    <t>Major Transmission Capital Additions - Year 1</t>
  </si>
  <si>
    <t>Major Transmission Capital Additions - 
Year 2</t>
  </si>
  <si>
    <t>Confidential Wind Generation Capital Additions - Year 1</t>
  </si>
  <si>
    <t>Confidential Wind Generation Capital Additions - Year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</si>
</sst>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_(* #,##0.0_);_(* \(#,##0.0\);_(* &quot;-&quot;??_);_(@_)"/>
    <numFmt numFmtId="173" formatCode="&quot;$&quot;#,##0.0_);[Red]\(&quot;$&quot;#,##0.0\)"/>
    <numFmt numFmtId="174" formatCode="0.000%"/>
    <numFmt numFmtId="175" formatCode="_(&quot;$&quot;* #,##0_);_(&quot;$&quot;* \(#,##0\);_(&quot;$&quot;* &quot;-&quot;??_);_(@_)"/>
    <numFmt numFmtId="176" formatCode="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8"/>
      <color theme="1"/>
      <name val="Times New Roman"/>
      <family val="1"/>
    </font>
    <font>
      <u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rgb="FF000000"/>
      <name val="Times New Roman"/>
      <family val="1"/>
    </font>
    <font>
      <u/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u/>
      <sz val="11"/>
      <color theme="1"/>
      <name val="Times New Roman"/>
      <family val="1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u val="singleAccounting"/>
      <sz val="10"/>
      <name val="Arial"/>
      <family val="2"/>
    </font>
    <font>
      <sz val="11"/>
      <name val="Calibri"/>
      <family val="2"/>
      <scheme val="minor"/>
    </font>
    <font>
      <strike/>
      <sz val="10"/>
      <name val="Arial"/>
      <family val="2"/>
    </font>
    <font>
      <u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3" fillId="0" borderId="0"/>
    <xf numFmtId="0" fontId="25" fillId="0" borderId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7" fillId="0" borderId="0"/>
  </cellStyleXfs>
  <cellXfs count="196">
    <xf numFmtId="0" fontId="0" fillId="0" borderId="0" xfId="0"/>
    <xf numFmtId="0" fontId="2" fillId="0" borderId="0" xfId="0" applyFont="1"/>
    <xf numFmtId="164" fontId="3" fillId="0" borderId="9" xfId="1" applyNumberFormat="1" applyFont="1" applyFill="1" applyBorder="1"/>
    <xf numFmtId="0" fontId="2" fillId="0" borderId="9" xfId="0" applyFont="1" applyBorder="1"/>
    <xf numFmtId="0" fontId="2" fillId="0" borderId="10" xfId="0" applyFont="1" applyBorder="1"/>
    <xf numFmtId="164" fontId="2" fillId="0" borderId="0" xfId="1" applyNumberFormat="1" applyFont="1"/>
    <xf numFmtId="164" fontId="2" fillId="0" borderId="8" xfId="1" applyNumberFormat="1" applyFont="1" applyBorder="1"/>
    <xf numFmtId="164" fontId="2" fillId="0" borderId="9" xfId="1" applyNumberFormat="1" applyFont="1" applyBorder="1"/>
    <xf numFmtId="164" fontId="2" fillId="0" borderId="10" xfId="1" applyNumberFormat="1" applyFont="1" applyBorder="1"/>
    <xf numFmtId="0" fontId="2" fillId="0" borderId="8" xfId="0" applyFont="1" applyBorder="1"/>
    <xf numFmtId="0" fontId="6" fillId="0" borderId="0" xfId="0" applyFont="1" applyAlignment="1">
      <alignment horizontal="left" vertical="center"/>
    </xf>
    <xf numFmtId="0" fontId="2" fillId="0" borderId="0" xfId="0" applyFont="1" applyBorder="1"/>
    <xf numFmtId="0" fontId="9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justify" vertical="center" wrapText="1"/>
    </xf>
    <xf numFmtId="0" fontId="0" fillId="0" borderId="0" xfId="0" applyBorder="1"/>
    <xf numFmtId="0" fontId="4" fillId="0" borderId="0" xfId="3" applyBorder="1" applyAlignment="1">
      <alignment horizontal="justify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8" fillId="0" borderId="1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166" fontId="5" fillId="0" borderId="2" xfId="0" applyNumberFormat="1" applyFont="1" applyBorder="1"/>
    <xf numFmtId="0" fontId="2" fillId="0" borderId="3" xfId="0" applyFont="1" applyBorder="1"/>
    <xf numFmtId="166" fontId="5" fillId="0" borderId="4" xfId="0" applyNumberFormat="1" applyFont="1" applyBorder="1"/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166" fontId="5" fillId="0" borderId="19" xfId="0" applyNumberFormat="1" applyFont="1" applyBorder="1"/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166" fontId="5" fillId="0" borderId="4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4" fillId="0" borderId="0" xfId="0" applyFont="1"/>
    <xf numFmtId="0" fontId="12" fillId="0" borderId="0" xfId="0" applyFont="1"/>
    <xf numFmtId="173" fontId="5" fillId="0" borderId="20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173" fontId="5" fillId="0" borderId="0" xfId="0" applyNumberFormat="1" applyFont="1" applyBorder="1" applyAlignment="1">
      <alignment horizontal="center" vertical="center"/>
    </xf>
    <xf numFmtId="173" fontId="14" fillId="0" borderId="4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173" fontId="14" fillId="0" borderId="22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173" fontId="5" fillId="0" borderId="16" xfId="0" applyNumberFormat="1" applyFont="1" applyBorder="1" applyAlignment="1">
      <alignment horizontal="center" vertical="center"/>
    </xf>
    <xf numFmtId="173" fontId="14" fillId="0" borderId="6" xfId="0" applyNumberFormat="1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41" fontId="15" fillId="0" borderId="13" xfId="0" applyNumberFormat="1" applyFont="1" applyBorder="1" applyAlignment="1">
      <alignment horizontal="right" vertical="center"/>
    </xf>
    <xf numFmtId="0" fontId="16" fillId="0" borderId="0" xfId="0" applyFont="1"/>
    <xf numFmtId="0" fontId="17" fillId="0" borderId="0" xfId="0" applyFont="1" applyAlignment="1">
      <alignment horizontal="right"/>
    </xf>
    <xf numFmtId="5" fontId="5" fillId="0" borderId="0" xfId="1" applyNumberFormat="1" applyFont="1" applyAlignment="1">
      <alignment horizontal="center"/>
    </xf>
    <xf numFmtId="5" fontId="5" fillId="0" borderId="0" xfId="0" applyNumberFormat="1" applyFont="1" applyAlignment="1">
      <alignment horizontal="center"/>
    </xf>
    <xf numFmtId="0" fontId="14" fillId="0" borderId="16" xfId="4" applyFont="1" applyBorder="1" applyAlignment="1">
      <alignment horizontal="center"/>
    </xf>
    <xf numFmtId="5" fontId="14" fillId="0" borderId="16" xfId="1" applyNumberFormat="1" applyFont="1" applyBorder="1" applyAlignment="1">
      <alignment horizontal="center"/>
    </xf>
    <xf numFmtId="5" fontId="14" fillId="0" borderId="16" xfId="4" applyNumberFormat="1" applyFont="1" applyBorder="1" applyAlignment="1">
      <alignment horizontal="center"/>
    </xf>
    <xf numFmtId="0" fontId="14" fillId="0" borderId="16" xfId="4" applyFont="1" applyBorder="1" applyAlignment="1">
      <alignment horizontal="center" wrapText="1"/>
    </xf>
    <xf numFmtId="0" fontId="5" fillId="0" borderId="0" xfId="4" applyFont="1" applyAlignment="1">
      <alignment horizontal="center"/>
    </xf>
    <xf numFmtId="10" fontId="5" fillId="0" borderId="0" xfId="4" applyNumberFormat="1" applyFont="1" applyAlignment="1">
      <alignment horizontal="center"/>
    </xf>
    <xf numFmtId="5" fontId="5" fillId="0" borderId="0" xfId="4" applyNumberFormat="1" applyFont="1" applyAlignment="1">
      <alignment horizontal="center"/>
    </xf>
    <xf numFmtId="5" fontId="5" fillId="0" borderId="0" xfId="1" applyNumberFormat="1" applyFont="1" applyFill="1" applyAlignment="1">
      <alignment horizontal="center"/>
    </xf>
    <xf numFmtId="5" fontId="5" fillId="0" borderId="16" xfId="1" applyNumberFormat="1" applyFont="1" applyBorder="1" applyAlignment="1">
      <alignment horizontal="center"/>
    </xf>
    <xf numFmtId="5" fontId="5" fillId="0" borderId="16" xfId="4" applyNumberFormat="1" applyFont="1" applyBorder="1" applyAlignment="1">
      <alignment horizontal="center"/>
    </xf>
    <xf numFmtId="10" fontId="5" fillId="0" borderId="16" xfId="4" applyNumberFormat="1" applyFont="1" applyBorder="1" applyAlignment="1">
      <alignment horizontal="center"/>
    </xf>
    <xf numFmtId="5" fontId="5" fillId="0" borderId="0" xfId="0" applyNumberFormat="1" applyFont="1"/>
    <xf numFmtId="5" fontId="5" fillId="0" borderId="0" xfId="1" applyNumberFormat="1" applyFont="1"/>
    <xf numFmtId="5" fontId="5" fillId="0" borderId="0" xfId="0" applyNumberFormat="1" applyFont="1" applyAlignment="1">
      <alignment horizontal="right"/>
    </xf>
    <xf numFmtId="5" fontId="5" fillId="0" borderId="0" xfId="1" applyNumberFormat="1" applyFont="1" applyFill="1"/>
    <xf numFmtId="5" fontId="5" fillId="0" borderId="0" xfId="1" applyNumberFormat="1" applyFont="1" applyFill="1" applyAlignment="1">
      <alignment horizontal="right"/>
    </xf>
    <xf numFmtId="10" fontId="5" fillId="0" borderId="0" xfId="5" applyNumberFormat="1" applyFont="1" applyFill="1" applyBorder="1" applyAlignment="1">
      <alignment horizontal="center"/>
    </xf>
    <xf numFmtId="5" fontId="13" fillId="0" borderId="0" xfId="1" applyNumberFormat="1" applyFont="1"/>
    <xf numFmtId="5" fontId="13" fillId="0" borderId="0" xfId="0" applyNumberFormat="1" applyFont="1"/>
    <xf numFmtId="0" fontId="13" fillId="0" borderId="0" xfId="0" applyFont="1" applyBorder="1"/>
    <xf numFmtId="5" fontId="13" fillId="0" borderId="0" xfId="0" applyNumberFormat="1" applyFont="1" applyAlignment="1">
      <alignment horizontal="right"/>
    </xf>
    <xf numFmtId="10" fontId="13" fillId="0" borderId="0" xfId="2" applyNumberFormat="1" applyFont="1"/>
    <xf numFmtId="10" fontId="13" fillId="0" borderId="0" xfId="0" applyNumberFormat="1" applyFont="1"/>
    <xf numFmtId="10" fontId="5" fillId="0" borderId="0" xfId="2" applyNumberFormat="1" applyFont="1"/>
    <xf numFmtId="0" fontId="18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9" fillId="0" borderId="0" xfId="0" applyFont="1"/>
    <xf numFmtId="174" fontId="20" fillId="0" borderId="0" xfId="2" applyNumberFormat="1" applyFont="1" applyFill="1"/>
    <xf numFmtId="0" fontId="20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164" fontId="19" fillId="0" borderId="0" xfId="0" applyNumberFormat="1" applyFont="1"/>
    <xf numFmtId="164" fontId="19" fillId="0" borderId="0" xfId="1" applyNumberFormat="1" applyFont="1" applyFill="1" applyBorder="1"/>
    <xf numFmtId="174" fontId="19" fillId="0" borderId="0" xfId="2" applyNumberFormat="1" applyFont="1" applyFill="1"/>
    <xf numFmtId="43" fontId="19" fillId="0" borderId="0" xfId="0" applyNumberFormat="1" applyFont="1"/>
    <xf numFmtId="164" fontId="22" fillId="0" borderId="0" xfId="1" applyNumberFormat="1" applyFont="1" applyFill="1" applyBorder="1" applyAlignment="1">
      <alignment horizontal="center"/>
    </xf>
    <xf numFmtId="164" fontId="21" fillId="0" borderId="13" xfId="0" applyNumberFormat="1" applyFont="1" applyBorder="1"/>
    <xf numFmtId="164" fontId="19" fillId="0" borderId="14" xfId="0" applyNumberFormat="1" applyFont="1" applyBorder="1"/>
    <xf numFmtId="0" fontId="19" fillId="0" borderId="12" xfId="0" applyFont="1" applyBorder="1"/>
    <xf numFmtId="0" fontId="24" fillId="0" borderId="0" xfId="6" applyFont="1" applyAlignment="1">
      <alignment horizontal="center"/>
    </xf>
    <xf numFmtId="164" fontId="21" fillId="0" borderId="27" xfId="0" applyNumberFormat="1" applyFont="1" applyBorder="1"/>
    <xf numFmtId="0" fontId="19" fillId="0" borderId="28" xfId="0" applyFont="1" applyBorder="1" applyAlignment="1">
      <alignment horizontal="left"/>
    </xf>
    <xf numFmtId="164" fontId="19" fillId="0" borderId="0" xfId="1" applyNumberFormat="1" applyFont="1"/>
    <xf numFmtId="0" fontId="19" fillId="0" borderId="28" xfId="0" applyFont="1" applyBorder="1"/>
    <xf numFmtId="0" fontId="21" fillId="0" borderId="29" xfId="0" applyFont="1" applyBorder="1" applyAlignment="1">
      <alignment horizontal="center"/>
    </xf>
    <xf numFmtId="49" fontId="21" fillId="0" borderId="16" xfId="0" applyNumberFormat="1" applyFont="1" applyBorder="1" applyAlignment="1">
      <alignment horizontal="center"/>
    </xf>
    <xf numFmtId="0" fontId="19" fillId="0" borderId="30" xfId="0" applyFont="1" applyBorder="1"/>
    <xf numFmtId="0" fontId="19" fillId="0" borderId="31" xfId="0" applyFont="1" applyBorder="1"/>
    <xf numFmtId="0" fontId="21" fillId="0" borderId="32" xfId="0" applyFont="1" applyBorder="1" applyAlignment="1">
      <alignment horizontal="center"/>
    </xf>
    <xf numFmtId="0" fontId="19" fillId="0" borderId="33" xfId="0" applyFont="1" applyBorder="1"/>
    <xf numFmtId="0" fontId="22" fillId="0" borderId="0" xfId="0" applyFont="1"/>
    <xf numFmtId="0" fontId="19" fillId="0" borderId="0" xfId="0" applyFont="1" applyAlignment="1">
      <alignment horizontal="center"/>
    </xf>
    <xf numFmtId="0" fontId="25" fillId="0" borderId="0" xfId="0" applyFont="1"/>
    <xf numFmtId="17" fontId="22" fillId="0" borderId="0" xfId="0" applyNumberFormat="1" applyFont="1" applyAlignment="1">
      <alignment horizontal="center"/>
    </xf>
    <xf numFmtId="17" fontId="22" fillId="0" borderId="16" xfId="0" applyNumberFormat="1" applyFont="1" applyBorder="1" applyAlignment="1">
      <alignment horizontal="center"/>
    </xf>
    <xf numFmtId="0" fontId="26" fillId="0" borderId="0" xfId="0" applyFont="1"/>
    <xf numFmtId="164" fontId="19" fillId="0" borderId="0" xfId="1" applyNumberFormat="1" applyFont="1" applyBorder="1"/>
    <xf numFmtId="0" fontId="25" fillId="0" borderId="0" xfId="6" applyFont="1" applyAlignment="1">
      <alignment horizontal="center"/>
    </xf>
    <xf numFmtId="0" fontId="20" fillId="0" borderId="0" xfId="0" applyFont="1" applyAlignment="1">
      <alignment horizontal="right"/>
    </xf>
    <xf numFmtId="0" fontId="22" fillId="0" borderId="0" xfId="7" applyFont="1" applyFill="1" applyAlignment="1">
      <alignment vertical="top"/>
    </xf>
    <xf numFmtId="0" fontId="22" fillId="0" borderId="0" xfId="7" applyFont="1" applyFill="1" applyAlignment="1">
      <alignment horizontal="left" vertical="top"/>
    </xf>
    <xf numFmtId="175" fontId="22" fillId="0" borderId="0" xfId="8" applyNumberFormat="1" applyFont="1" applyFill="1" applyAlignment="1">
      <alignment vertical="top"/>
    </xf>
    <xf numFmtId="0" fontId="22" fillId="0" borderId="16" xfId="7" applyFont="1" applyFill="1" applyBorder="1" applyAlignment="1">
      <alignment horizontal="left" vertical="top"/>
    </xf>
    <xf numFmtId="0" fontId="22" fillId="0" borderId="16" xfId="7" applyFont="1" applyFill="1" applyBorder="1" applyAlignment="1">
      <alignment vertical="top"/>
    </xf>
    <xf numFmtId="175" fontId="22" fillId="0" borderId="16" xfId="8" applyNumberFormat="1" applyFont="1" applyFill="1" applyBorder="1" applyAlignment="1">
      <alignment horizontal="right" vertical="top"/>
    </xf>
    <xf numFmtId="175" fontId="22" fillId="0" borderId="34" xfId="8" applyNumberFormat="1" applyFont="1" applyFill="1" applyBorder="1" applyAlignment="1">
      <alignment vertical="top"/>
    </xf>
    <xf numFmtId="175" fontId="22" fillId="0" borderId="0" xfId="8" applyNumberFormat="1" applyFont="1" applyFill="1" applyAlignment="1">
      <alignment horizontal="right" vertical="top"/>
    </xf>
    <xf numFmtId="176" fontId="22" fillId="0" borderId="0" xfId="7" applyNumberFormat="1" applyFont="1" applyFill="1" applyAlignment="1">
      <alignment vertical="top"/>
    </xf>
    <xf numFmtId="0" fontId="25" fillId="0" borderId="0" xfId="7" applyFont="1" applyFill="1" applyAlignment="1">
      <alignment vertical="top"/>
    </xf>
    <xf numFmtId="175" fontId="29" fillId="0" borderId="0" xfId="8" applyNumberFormat="1" applyFont="1" applyFill="1" applyAlignment="1">
      <alignment vertical="top"/>
    </xf>
    <xf numFmtId="0" fontId="25" fillId="0" borderId="0" xfId="7" applyFont="1" applyFill="1" applyAlignment="1">
      <alignment horizontal="left" vertical="top"/>
    </xf>
    <xf numFmtId="175" fontId="25" fillId="0" borderId="0" xfId="8" applyNumberFormat="1" applyFont="1" applyFill="1" applyAlignment="1">
      <alignment vertical="top"/>
    </xf>
    <xf numFmtId="44" fontId="25" fillId="0" borderId="0" xfId="7" applyNumberFormat="1" applyFont="1" applyFill="1" applyAlignment="1">
      <alignment vertical="top"/>
    </xf>
    <xf numFmtId="41" fontId="25" fillId="0" borderId="0" xfId="7" applyNumberFormat="1" applyFont="1" applyFill="1" applyAlignment="1">
      <alignment vertical="top"/>
    </xf>
    <xf numFmtId="176" fontId="25" fillId="0" borderId="0" xfId="7" applyNumberFormat="1" applyFont="1" applyFill="1" applyAlignment="1">
      <alignment vertical="top"/>
    </xf>
    <xf numFmtId="0" fontId="30" fillId="0" borderId="0" xfId="7" applyFont="1" applyFill="1" applyAlignment="1">
      <alignment vertical="top"/>
    </xf>
    <xf numFmtId="175" fontId="22" fillId="0" borderId="0" xfId="8" applyNumberFormat="1" applyFont="1" applyFill="1" applyBorder="1" applyAlignment="1">
      <alignment vertical="top"/>
    </xf>
    <xf numFmtId="175" fontId="22" fillId="0" borderId="0" xfId="8" applyNumberFormat="1" applyFont="1" applyFill="1" applyBorder="1" applyAlignment="1">
      <alignment horizontal="right" vertical="top"/>
    </xf>
    <xf numFmtId="0" fontId="22" fillId="0" borderId="0" xfId="7" applyFont="1" applyFill="1" applyBorder="1" applyAlignment="1">
      <alignment vertical="top"/>
    </xf>
    <xf numFmtId="0" fontId="26" fillId="0" borderId="0" xfId="7" applyFont="1" applyFill="1" applyBorder="1" applyAlignment="1">
      <alignment horizontal="centerContinuous" vertical="top"/>
    </xf>
    <xf numFmtId="164" fontId="28" fillId="0" borderId="0" xfId="9" applyNumberFormat="1" applyFont="1" applyFill="1" applyBorder="1" applyAlignment="1">
      <alignment horizontal="center" vertical="top"/>
    </xf>
    <xf numFmtId="164" fontId="22" fillId="0" borderId="0" xfId="9" applyNumberFormat="1" applyFont="1" applyFill="1" applyBorder="1" applyAlignment="1">
      <alignment vertical="top"/>
    </xf>
    <xf numFmtId="10" fontId="22" fillId="0" borderId="0" xfId="10" applyNumberFormat="1" applyFont="1" applyFill="1" applyBorder="1" applyAlignment="1">
      <alignment vertical="top"/>
    </xf>
    <xf numFmtId="176" fontId="22" fillId="0" borderId="0" xfId="7" applyNumberFormat="1" applyFont="1" applyFill="1" applyBorder="1" applyAlignment="1">
      <alignment vertical="top"/>
    </xf>
    <xf numFmtId="0" fontId="25" fillId="0" borderId="0" xfId="7" applyFont="1" applyFill="1" applyBorder="1" applyAlignment="1">
      <alignment vertical="top"/>
    </xf>
    <xf numFmtId="175" fontId="29" fillId="0" borderId="0" xfId="8" applyNumberFormat="1" applyFont="1" applyFill="1" applyBorder="1" applyAlignment="1">
      <alignment vertical="top"/>
    </xf>
    <xf numFmtId="0" fontId="25" fillId="0" borderId="0" xfId="7" applyFont="1" applyFill="1" applyBorder="1" applyAlignment="1">
      <alignment horizontal="left" vertical="top"/>
    </xf>
    <xf numFmtId="0" fontId="22" fillId="0" borderId="0" xfId="7" applyFont="1" applyFill="1" applyBorder="1" applyAlignment="1">
      <alignment horizontal="left" vertical="top"/>
    </xf>
    <xf numFmtId="0" fontId="25" fillId="0" borderId="0" xfId="7" applyFont="1" applyFill="1" applyBorder="1" applyAlignment="1">
      <alignment horizontal="right" vertical="top"/>
    </xf>
    <xf numFmtId="164" fontId="29" fillId="0" borderId="0" xfId="9" applyNumberFormat="1" applyFont="1" applyFill="1" applyBorder="1" applyAlignment="1">
      <alignment vertical="top"/>
    </xf>
    <xf numFmtId="164" fontId="25" fillId="0" borderId="0" xfId="7" applyNumberFormat="1" applyFont="1" applyFill="1" applyBorder="1" applyAlignment="1">
      <alignment vertical="top"/>
    </xf>
    <xf numFmtId="44" fontId="25" fillId="0" borderId="0" xfId="7" applyNumberFormat="1" applyFont="1" applyFill="1" applyBorder="1" applyAlignment="1">
      <alignment vertical="top"/>
    </xf>
    <xf numFmtId="175" fontId="25" fillId="0" borderId="0" xfId="8" applyNumberFormat="1" applyFont="1" applyFill="1" applyBorder="1" applyAlignment="1">
      <alignment vertical="top"/>
    </xf>
    <xf numFmtId="41" fontId="25" fillId="0" borderId="0" xfId="7" applyNumberFormat="1" applyFont="1" applyFill="1" applyBorder="1" applyAlignment="1">
      <alignment vertical="top"/>
    </xf>
    <xf numFmtId="176" fontId="25" fillId="0" borderId="0" xfId="7" applyNumberFormat="1" applyFont="1" applyFill="1" applyBorder="1" applyAlignment="1">
      <alignment vertical="top"/>
    </xf>
    <xf numFmtId="0" fontId="30" fillId="0" borderId="0" xfId="7" applyFont="1" applyFill="1" applyBorder="1" applyAlignment="1">
      <alignment vertical="top"/>
    </xf>
    <xf numFmtId="0" fontId="31" fillId="0" borderId="0" xfId="7" applyFont="1" applyFill="1" applyBorder="1" applyAlignment="1">
      <alignment horizontal="center" vertical="top"/>
    </xf>
    <xf numFmtId="175" fontId="25" fillId="0" borderId="0" xfId="7" applyNumberFormat="1" applyFont="1" applyFill="1" applyBorder="1" applyAlignment="1">
      <alignment vertical="top"/>
    </xf>
    <xf numFmtId="10" fontId="29" fillId="0" borderId="0" xfId="10" applyNumberFormat="1" applyFont="1" applyFill="1" applyBorder="1" applyAlignment="1">
      <alignment vertical="top"/>
    </xf>
    <xf numFmtId="175" fontId="22" fillId="0" borderId="0" xfId="7" applyNumberFormat="1" applyFont="1" applyFill="1" applyBorder="1" applyAlignment="1">
      <alignment vertical="top"/>
    </xf>
    <xf numFmtId="0" fontId="25" fillId="0" borderId="0" xfId="11" applyFont="1" applyFill="1" applyBorder="1" applyAlignment="1">
      <alignment horizontal="center"/>
    </xf>
    <xf numFmtId="10" fontId="22" fillId="0" borderId="0" xfId="10" applyNumberFormat="1" applyFont="1" applyFill="1" applyBorder="1" applyAlignment="1">
      <alignment horizontal="center"/>
    </xf>
    <xf numFmtId="175" fontId="32" fillId="0" borderId="0" xfId="8" applyNumberFormat="1" applyFont="1" applyFill="1" applyAlignment="1">
      <alignment vertical="top"/>
    </xf>
    <xf numFmtId="175" fontId="32" fillId="0" borderId="0" xfId="8" applyNumberFormat="1" applyFont="1" applyFill="1" applyBorder="1" applyAlignment="1">
      <alignment vertical="top"/>
    </xf>
    <xf numFmtId="0" fontId="32" fillId="0" borderId="0" xfId="7" applyFont="1" applyFill="1" applyAlignment="1">
      <alignment vertical="top"/>
    </xf>
    <xf numFmtId="0" fontId="32" fillId="0" borderId="7" xfId="7" applyFont="1" applyFill="1" applyBorder="1" applyAlignment="1">
      <alignment vertical="top"/>
    </xf>
    <xf numFmtId="175" fontId="33" fillId="0" borderId="7" xfId="8" applyNumberFormat="1" applyFont="1" applyFill="1" applyBorder="1" applyAlignment="1">
      <alignment horizontal="center" vertical="top" wrapText="1"/>
    </xf>
    <xf numFmtId="0" fontId="33" fillId="0" borderId="7" xfId="7" applyFont="1" applyFill="1" applyBorder="1" applyAlignment="1">
      <alignment horizontal="center" vertical="top"/>
    </xf>
    <xf numFmtId="0" fontId="33" fillId="0" borderId="7" xfId="7" applyFont="1" applyFill="1" applyBorder="1" applyAlignment="1">
      <alignment horizontal="center" vertical="top" wrapText="1"/>
    </xf>
    <xf numFmtId="0" fontId="32" fillId="0" borderId="0" xfId="7" applyFont="1" applyFill="1" applyBorder="1" applyAlignment="1">
      <alignment vertical="top"/>
    </xf>
    <xf numFmtId="41" fontId="32" fillId="0" borderId="7" xfId="7" applyNumberFormat="1" applyFont="1" applyFill="1" applyBorder="1" applyAlignment="1">
      <alignment vertical="top"/>
    </xf>
    <xf numFmtId="176" fontId="32" fillId="0" borderId="7" xfId="7" applyNumberFormat="1" applyFont="1" applyFill="1" applyBorder="1" applyAlignment="1">
      <alignment vertical="top"/>
    </xf>
    <xf numFmtId="176" fontId="32" fillId="0" borderId="0" xfId="7" applyNumberFormat="1" applyFont="1" applyFill="1" applyAlignment="1">
      <alignment vertical="top"/>
    </xf>
    <xf numFmtId="0" fontId="34" fillId="0" borderId="0" xfId="7" applyFont="1" applyFill="1" applyBorder="1" applyAlignment="1">
      <alignment horizontal="center" vertical="top"/>
    </xf>
    <xf numFmtId="0" fontId="32" fillId="0" borderId="0" xfId="8" applyNumberFormat="1" applyFont="1" applyFill="1" applyBorder="1" applyAlignment="1">
      <alignment horizontal="center" vertical="top"/>
    </xf>
    <xf numFmtId="175" fontId="33" fillId="0" borderId="7" xfId="8" applyNumberFormat="1" applyFont="1" applyFill="1" applyBorder="1" applyAlignment="1">
      <alignment horizontal="right" vertical="top"/>
    </xf>
    <xf numFmtId="176" fontId="33" fillId="0" borderId="7" xfId="7" applyNumberFormat="1" applyFont="1" applyFill="1" applyBorder="1" applyAlignment="1">
      <alignment vertical="top"/>
    </xf>
    <xf numFmtId="176" fontId="33" fillId="0" borderId="0" xfId="7" applyNumberFormat="1" applyFont="1" applyFill="1" applyAlignment="1">
      <alignment vertical="top"/>
    </xf>
    <xf numFmtId="175" fontId="32" fillId="0" borderId="7" xfId="8" applyNumberFormat="1" applyFont="1" applyFill="1" applyBorder="1" applyAlignment="1">
      <alignment vertical="top"/>
    </xf>
    <xf numFmtId="43" fontId="32" fillId="0" borderId="7" xfId="7" applyNumberFormat="1" applyFont="1" applyFill="1" applyBorder="1" applyAlignment="1">
      <alignment vertical="top"/>
    </xf>
    <xf numFmtId="0" fontId="33" fillId="0" borderId="7" xfId="7" applyFont="1" applyFill="1" applyBorder="1" applyAlignment="1">
      <alignment vertical="top"/>
    </xf>
    <xf numFmtId="175" fontId="33" fillId="0" borderId="7" xfId="8" applyNumberFormat="1" applyFont="1" applyFill="1" applyBorder="1" applyAlignment="1">
      <alignment vertical="top"/>
    </xf>
    <xf numFmtId="175" fontId="33" fillId="0" borderId="0" xfId="8" applyNumberFormat="1" applyFont="1" applyFill="1" applyAlignment="1">
      <alignment vertical="top"/>
    </xf>
    <xf numFmtId="175" fontId="33" fillId="0" borderId="0" xfId="8" applyNumberFormat="1" applyFont="1" applyFill="1" applyBorder="1" applyAlignment="1">
      <alignment horizontal="right" vertical="top"/>
    </xf>
    <xf numFmtId="0" fontId="34" fillId="0" borderId="0" xfId="7" applyFont="1" applyFill="1" applyAlignment="1">
      <alignment vertical="top"/>
    </xf>
  </cellXfs>
  <cellStyles count="12">
    <cellStyle name="Comma" xfId="1" builtinId="3"/>
    <cellStyle name="Comma 2" xfId="9" xr:uid="{297B918F-E99A-4340-9333-E94080B9255C}"/>
    <cellStyle name="Currency 2" xfId="8" xr:uid="{AC345E8A-5901-4779-97DF-BC2BE25A4800}"/>
    <cellStyle name="Hyperlink" xfId="3" builtinId="8"/>
    <cellStyle name="Normal" xfId="0" builtinId="0"/>
    <cellStyle name="Normal 2" xfId="7" xr:uid="{3E809C07-9D2A-4BF9-8CA5-B8D1BFA812AA}"/>
    <cellStyle name="Normal 4" xfId="4" xr:uid="{F7310ABA-28ED-42BB-83A3-CF9D30633DC5}"/>
    <cellStyle name="Normal_Adjustment Template" xfId="6" xr:uid="{D29C09FF-6FF3-4117-BF0E-91BF332651BD}"/>
    <cellStyle name="Normal_Extract for Adjustment-Wy Case - Sept 06" xfId="11" xr:uid="{D323B1DD-2847-427A-ADF1-86AC5DCE9127}"/>
    <cellStyle name="Percent" xfId="2" builtinId="5"/>
    <cellStyle name="Percent 2" xfId="10" xr:uid="{31C59C41-4117-4333-9689-16326018569C}"/>
    <cellStyle name="Percent 3" xfId="5" xr:uid="{88934A9C-48CA-470F-8249-8EB49B20AA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230172-PAC-SLC-8.8RLaborDayWildfireRestorationCapitalRemoval-ExhSLC11.xlsx?3ADEA372" TargetMode="External"/><Relationship Id="rId1" Type="http://schemas.openxmlformats.org/officeDocument/2006/relationships/externalLinkPath" Target="file:///\\3ADEA372\230172-PAC-SLC-8.8RLaborDayWildfireRestorationCapitalRemoval-ExhSLC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8_R"/>
      <sheetName val="8.8.1_R"/>
    </sheetNames>
    <sheetDataSet>
      <sheetData sheetId="0">
        <row r="22">
          <cell r="I22">
            <v>-11095768.00557268</v>
          </cell>
        </row>
        <row r="38">
          <cell r="I38">
            <v>301559.12317440589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511C0-5E3A-432C-8FB7-B94D0B19579C}">
  <sheetPr>
    <tabColor theme="9" tint="0.39997558519241921"/>
  </sheetPr>
  <dimension ref="A1:G29"/>
  <sheetViews>
    <sheetView tabSelected="1" view="pageBreakPreview" zoomScale="80" zoomScaleNormal="100" zoomScaleSheetLayoutView="80" workbookViewId="0">
      <selection activeCell="J27" sqref="J27"/>
    </sheetView>
  </sheetViews>
  <sheetFormatPr defaultRowHeight="15.75" x14ac:dyDescent="0.25"/>
  <cols>
    <col min="1" max="1" width="49.5703125" style="1" bestFit="1" customWidth="1"/>
    <col min="2" max="2" width="16.85546875" style="5" bestFit="1" customWidth="1"/>
    <col min="3" max="4" width="9.140625" style="1"/>
    <col min="5" max="5" width="9.140625" style="11"/>
    <col min="6" max="6" width="55.85546875" style="11" customWidth="1"/>
    <col min="7" max="7" width="18.28515625" style="21" customWidth="1"/>
    <col min="8" max="16384" width="9.140625" style="1"/>
  </cols>
  <sheetData>
    <row r="1" spans="1:7" x14ac:dyDescent="0.25">
      <c r="A1" s="1" t="s">
        <v>12</v>
      </c>
      <c r="B1" s="5">
        <v>26763219.025179848</v>
      </c>
      <c r="F1" s="18" t="s">
        <v>14</v>
      </c>
      <c r="G1" s="20"/>
    </row>
    <row r="2" spans="1:7" x14ac:dyDescent="0.25">
      <c r="E2" s="22" t="s">
        <v>15</v>
      </c>
      <c r="F2" s="23"/>
      <c r="G2" s="24">
        <f>B1/1000000</f>
        <v>26.763219025179847</v>
      </c>
    </row>
    <row r="3" spans="1:7" x14ac:dyDescent="0.25">
      <c r="A3" s="9" t="s">
        <v>0</v>
      </c>
      <c r="B3" s="6">
        <v>-332838.62594861537</v>
      </c>
      <c r="E3" s="25"/>
      <c r="F3" s="12" t="s">
        <v>16</v>
      </c>
      <c r="G3" s="26">
        <f>B3/1000000</f>
        <v>-0.33283862594861535</v>
      </c>
    </row>
    <row r="4" spans="1:7" x14ac:dyDescent="0.25">
      <c r="A4" s="2"/>
      <c r="B4" s="7"/>
      <c r="E4" s="27"/>
      <c r="F4" s="13"/>
      <c r="G4" s="26"/>
    </row>
    <row r="5" spans="1:7" ht="39" x14ac:dyDescent="0.25">
      <c r="A5" s="3" t="s">
        <v>1</v>
      </c>
      <c r="B5" s="7">
        <v>-295109.07660622522</v>
      </c>
      <c r="E5" s="37" t="s">
        <v>17</v>
      </c>
      <c r="F5" s="38"/>
      <c r="G5" s="36" t="s">
        <v>54</v>
      </c>
    </row>
    <row r="6" spans="1:7" x14ac:dyDescent="0.25">
      <c r="A6" s="3" t="s">
        <v>13</v>
      </c>
      <c r="B6" s="7">
        <v>-1138962.4579868428</v>
      </c>
      <c r="E6" s="25"/>
      <c r="F6" s="12" t="s">
        <v>18</v>
      </c>
      <c r="G6" s="26">
        <f>B5/1000000</f>
        <v>-0.29510907660622521</v>
      </c>
    </row>
    <row r="7" spans="1:7" x14ac:dyDescent="0.25">
      <c r="A7" s="3" t="s">
        <v>2</v>
      </c>
      <c r="B7" s="7">
        <v>-3271567.8139152266</v>
      </c>
      <c r="E7" s="25"/>
      <c r="F7" s="12" t="s">
        <v>19</v>
      </c>
      <c r="G7" s="26">
        <f>B6/1000000</f>
        <v>-1.1389624579868429</v>
      </c>
    </row>
    <row r="8" spans="1:7" x14ac:dyDescent="0.25">
      <c r="A8" s="3"/>
      <c r="B8" s="7"/>
      <c r="E8" s="25"/>
      <c r="F8" s="12" t="s">
        <v>20</v>
      </c>
      <c r="G8" s="26">
        <f>B7/1000000</f>
        <v>-3.2715678139152264</v>
      </c>
    </row>
    <row r="9" spans="1:7" x14ac:dyDescent="0.25">
      <c r="A9" s="3" t="s">
        <v>3</v>
      </c>
      <c r="B9" s="7">
        <v>-9941495.5532745682</v>
      </c>
      <c r="E9" s="32" t="s">
        <v>21</v>
      </c>
      <c r="F9" s="33"/>
      <c r="G9" s="31">
        <f>SUM(G6:G8)</f>
        <v>-4.7056393485082948</v>
      </c>
    </row>
    <row r="10" spans="1:7" x14ac:dyDescent="0.25">
      <c r="A10" s="3" t="s">
        <v>4</v>
      </c>
      <c r="B10" s="7">
        <v>6926880.1074415855</v>
      </c>
      <c r="E10" s="28"/>
      <c r="F10" s="13"/>
      <c r="G10" s="26"/>
    </row>
    <row r="11" spans="1:7" x14ac:dyDescent="0.25">
      <c r="A11" s="3" t="s">
        <v>5</v>
      </c>
      <c r="B11" s="7">
        <v>-1153084.448341269</v>
      </c>
      <c r="E11" s="29" t="s">
        <v>22</v>
      </c>
      <c r="F11" s="30"/>
      <c r="G11" s="31">
        <f>G2+G3+G9</f>
        <v>21.724741050722937</v>
      </c>
    </row>
    <row r="12" spans="1:7" x14ac:dyDescent="0.25">
      <c r="A12" s="3" t="s">
        <v>6</v>
      </c>
      <c r="B12" s="7">
        <v>678063.31712786108</v>
      </c>
      <c r="E12" s="27"/>
      <c r="F12" s="13"/>
      <c r="G12" s="26"/>
    </row>
    <row r="13" spans="1:7" ht="39" x14ac:dyDescent="0.25">
      <c r="A13" s="3" t="s">
        <v>7</v>
      </c>
      <c r="B13" s="7">
        <v>513021.60471313074</v>
      </c>
      <c r="E13" s="37" t="s">
        <v>23</v>
      </c>
      <c r="F13" s="38"/>
      <c r="G13" s="36" t="s">
        <v>54</v>
      </c>
    </row>
    <row r="14" spans="1:7" x14ac:dyDescent="0.25">
      <c r="A14" s="3" t="s">
        <v>8</v>
      </c>
      <c r="B14" s="7">
        <v>391985.39217153564</v>
      </c>
      <c r="E14" s="25"/>
      <c r="F14" s="12" t="s">
        <v>24</v>
      </c>
      <c r="G14" s="26">
        <f>B9/1000000</f>
        <v>-9.941495553274569</v>
      </c>
    </row>
    <row r="15" spans="1:7" x14ac:dyDescent="0.25">
      <c r="A15" s="3" t="s">
        <v>9</v>
      </c>
      <c r="B15" s="7">
        <v>-239050.90824768692</v>
      </c>
      <c r="E15" s="25"/>
      <c r="F15" s="12" t="s">
        <v>25</v>
      </c>
      <c r="G15" s="26">
        <f>B10/1000000</f>
        <v>6.9268801074415851</v>
      </c>
    </row>
    <row r="16" spans="1:7" x14ac:dyDescent="0.25">
      <c r="A16" s="3" t="s">
        <v>10</v>
      </c>
      <c r="B16" s="7">
        <v>-136536.49693592265</v>
      </c>
      <c r="E16" s="25"/>
      <c r="F16" s="12" t="s">
        <v>26</v>
      </c>
      <c r="G16" s="26">
        <f>B11/1000000</f>
        <v>-1.153084448341269</v>
      </c>
    </row>
    <row r="17" spans="1:7" x14ac:dyDescent="0.25">
      <c r="A17" s="3" t="s">
        <v>11</v>
      </c>
      <c r="B17" s="8">
        <v>-17193.395779795945</v>
      </c>
      <c r="E17" s="25"/>
      <c r="F17" s="12" t="s">
        <v>27</v>
      </c>
      <c r="G17" s="26">
        <f>B12/1000000</f>
        <v>0.67806331712786105</v>
      </c>
    </row>
    <row r="18" spans="1:7" x14ac:dyDescent="0.25">
      <c r="A18" s="3"/>
      <c r="B18" s="7">
        <f>SUM(B3:B17)</f>
        <v>-8015888.3555820398</v>
      </c>
      <c r="E18" s="25"/>
      <c r="F18" s="12" t="s">
        <v>28</v>
      </c>
      <c r="G18" s="26">
        <f>B13/1000000</f>
        <v>0.51302160471313074</v>
      </c>
    </row>
    <row r="19" spans="1:7" x14ac:dyDescent="0.25">
      <c r="A19" s="3"/>
      <c r="B19" s="7"/>
      <c r="E19" s="25"/>
      <c r="F19" s="12" t="s">
        <v>34</v>
      </c>
      <c r="G19" s="26">
        <f>B14/1000000</f>
        <v>0.39198539217153566</v>
      </c>
    </row>
    <row r="20" spans="1:7" x14ac:dyDescent="0.25">
      <c r="A20" s="4" t="s">
        <v>43</v>
      </c>
      <c r="B20" s="8"/>
      <c r="E20" s="25"/>
      <c r="F20" s="12" t="s">
        <v>29</v>
      </c>
      <c r="G20" s="26">
        <f>B15/1000000</f>
        <v>-0.23905090824768693</v>
      </c>
    </row>
    <row r="21" spans="1:7" x14ac:dyDescent="0.25">
      <c r="E21" s="25"/>
      <c r="F21" s="12" t="s">
        <v>30</v>
      </c>
      <c r="G21" s="26">
        <f>B16/1000000</f>
        <v>-0.13653649693592265</v>
      </c>
    </row>
    <row r="22" spans="1:7" x14ac:dyDescent="0.25">
      <c r="E22" s="25"/>
      <c r="F22" s="12" t="s">
        <v>31</v>
      </c>
      <c r="G22" s="26">
        <f>B17/1000000</f>
        <v>-1.7193395779795943E-2</v>
      </c>
    </row>
    <row r="23" spans="1:7" x14ac:dyDescent="0.25">
      <c r="E23" s="32" t="s">
        <v>32</v>
      </c>
      <c r="F23" s="33"/>
      <c r="G23" s="31">
        <f>SUM(G14:G22)</f>
        <v>-2.9774103811251305</v>
      </c>
    </row>
    <row r="24" spans="1:7" x14ac:dyDescent="0.25">
      <c r="E24" s="34"/>
      <c r="F24" s="35"/>
      <c r="G24" s="24"/>
    </row>
    <row r="25" spans="1:7" x14ac:dyDescent="0.25">
      <c r="E25" s="29" t="s">
        <v>33</v>
      </c>
      <c r="F25" s="30"/>
      <c r="G25" s="31">
        <f>G11+G23</f>
        <v>18.747330669597808</v>
      </c>
    </row>
    <row r="26" spans="1:7" x14ac:dyDescent="0.25">
      <c r="E26" s="14"/>
      <c r="F26" s="14"/>
    </row>
    <row r="27" spans="1:7" x14ac:dyDescent="0.25">
      <c r="E27" s="14"/>
      <c r="F27" s="14"/>
    </row>
    <row r="28" spans="1:7" x14ac:dyDescent="0.25">
      <c r="E28" s="15"/>
      <c r="F28" s="14"/>
    </row>
    <row r="29" spans="1:7" x14ac:dyDescent="0.25">
      <c r="E29" s="16"/>
      <c r="F29" s="14"/>
    </row>
  </sheetData>
  <mergeCells count="8">
    <mergeCell ref="E24:F24"/>
    <mergeCell ref="E25:F25"/>
    <mergeCell ref="E2:F2"/>
    <mergeCell ref="E5:F5"/>
    <mergeCell ref="E9:F9"/>
    <mergeCell ref="E11:F11"/>
    <mergeCell ref="E13:F13"/>
    <mergeCell ref="E23:F23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09500-4C7F-41AF-87B8-90308E5B5087}">
  <sheetPr>
    <pageSetUpPr fitToPage="1"/>
  </sheetPr>
  <dimension ref="A1:AD41"/>
  <sheetViews>
    <sheetView view="pageBreakPreview" topLeftCell="E1" zoomScale="90" zoomScaleNormal="100" zoomScaleSheetLayoutView="90" workbookViewId="0">
      <selection activeCell="L47" sqref="L47"/>
    </sheetView>
  </sheetViews>
  <sheetFormatPr defaultColWidth="9.140625" defaultRowHeight="12.75" x14ac:dyDescent="0.2"/>
  <cols>
    <col min="1" max="1" width="16" style="97" customWidth="1"/>
    <col min="2" max="2" width="8.5703125" style="97" bestFit="1" customWidth="1"/>
    <col min="3" max="3" width="6.85546875" style="97" bestFit="1" customWidth="1"/>
    <col min="4" max="5" width="13" style="97" customWidth="1"/>
    <col min="6" max="6" width="13.140625" style="97" customWidth="1"/>
    <col min="7" max="12" width="13.28515625" style="97" bestFit="1" customWidth="1"/>
    <col min="13" max="16" width="15" style="97" bestFit="1" customWidth="1"/>
    <col min="17" max="18" width="15" style="97" customWidth="1"/>
    <col min="19" max="19" width="15" style="97" bestFit="1" customWidth="1"/>
    <col min="20" max="20" width="9.140625" style="97"/>
    <col min="21" max="21" width="15" style="97" bestFit="1" customWidth="1"/>
    <col min="22" max="16384" width="9.140625" style="97"/>
  </cols>
  <sheetData>
    <row r="1" spans="1:30" x14ac:dyDescent="0.2">
      <c r="A1" s="101" t="s">
        <v>188</v>
      </c>
      <c r="S1" s="100"/>
    </row>
    <row r="2" spans="1:30" x14ac:dyDescent="0.2">
      <c r="A2" s="101" t="s">
        <v>194</v>
      </c>
    </row>
    <row r="3" spans="1:30" x14ac:dyDescent="0.2">
      <c r="A3" s="101" t="s">
        <v>198</v>
      </c>
    </row>
    <row r="4" spans="1:30" x14ac:dyDescent="0.2">
      <c r="A4" s="101"/>
    </row>
    <row r="5" spans="1:30" x14ac:dyDescent="0.2">
      <c r="A5" s="101"/>
    </row>
    <row r="6" spans="1:30" x14ac:dyDescent="0.2">
      <c r="A6" s="101"/>
    </row>
    <row r="7" spans="1:30" x14ac:dyDescent="0.2">
      <c r="A7" s="101" t="s">
        <v>128</v>
      </c>
    </row>
    <row r="9" spans="1:30" x14ac:dyDescent="0.2">
      <c r="A9" s="126" t="s">
        <v>123</v>
      </c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</row>
    <row r="10" spans="1:30" x14ac:dyDescent="0.2"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0" t="s">
        <v>113</v>
      </c>
      <c r="U10" s="100" t="s">
        <v>113</v>
      </c>
    </row>
    <row r="11" spans="1:30" x14ac:dyDescent="0.2">
      <c r="B11" s="101" t="s">
        <v>118</v>
      </c>
      <c r="C11" s="100" t="s">
        <v>117</v>
      </c>
      <c r="D11" s="125">
        <v>45627</v>
      </c>
      <c r="E11" s="125">
        <v>45658</v>
      </c>
      <c r="F11" s="125">
        <v>45689</v>
      </c>
      <c r="G11" s="125">
        <v>45717</v>
      </c>
      <c r="H11" s="125">
        <v>45748</v>
      </c>
      <c r="I11" s="125">
        <v>45778</v>
      </c>
      <c r="J11" s="125">
        <v>45809</v>
      </c>
      <c r="K11" s="125">
        <v>45839</v>
      </c>
      <c r="L11" s="125">
        <v>45870</v>
      </c>
      <c r="M11" s="125">
        <v>45901</v>
      </c>
      <c r="N11" s="125">
        <v>45931</v>
      </c>
      <c r="O11" s="125">
        <v>45962</v>
      </c>
      <c r="P11" s="125">
        <v>45992</v>
      </c>
      <c r="Q11" s="125">
        <v>46023</v>
      </c>
      <c r="R11" s="125">
        <v>46054</v>
      </c>
      <c r="S11" s="125">
        <v>45992</v>
      </c>
      <c r="T11" s="124"/>
      <c r="U11" s="125">
        <f>R11</f>
        <v>46054</v>
      </c>
      <c r="V11" s="124"/>
      <c r="W11" s="124"/>
      <c r="X11" s="124"/>
      <c r="Y11" s="124"/>
      <c r="Z11" s="124"/>
      <c r="AA11" s="124"/>
      <c r="AB11" s="124"/>
      <c r="AC11" s="124"/>
      <c r="AD11" s="124"/>
    </row>
    <row r="12" spans="1:30" x14ac:dyDescent="0.2">
      <c r="A12" s="97" t="s">
        <v>134</v>
      </c>
      <c r="B12" s="122">
        <v>343</v>
      </c>
      <c r="C12" s="122" t="s">
        <v>133</v>
      </c>
      <c r="D12" s="102">
        <v>496768948.22999847</v>
      </c>
      <c r="E12" s="102">
        <v>496768948.22999847</v>
      </c>
      <c r="F12" s="102">
        <v>496768948.22999847</v>
      </c>
      <c r="G12" s="102">
        <v>496768948.22999847</v>
      </c>
      <c r="H12" s="102">
        <v>496768948.22999847</v>
      </c>
      <c r="I12" s="102">
        <v>496768948.22999847</v>
      </c>
      <c r="J12" s="102">
        <v>497088834.80999845</v>
      </c>
      <c r="K12" s="102">
        <v>497088834.80999845</v>
      </c>
      <c r="L12" s="102">
        <v>497088834.80999845</v>
      </c>
      <c r="M12" s="102">
        <v>1326574309.5511951</v>
      </c>
      <c r="N12" s="102">
        <v>1326574309.5511951</v>
      </c>
      <c r="O12" s="102">
        <v>1326574309.5511951</v>
      </c>
      <c r="P12" s="102">
        <v>1335637994.634995</v>
      </c>
      <c r="Q12" s="102">
        <v>1335637994.634995</v>
      </c>
      <c r="R12" s="102">
        <v>1335637994.634995</v>
      </c>
      <c r="S12" s="102">
        <f>(((D12+P12)+(SUM(E12:O12)*2))/24)</f>
        <v>739253137.13883924</v>
      </c>
      <c r="U12" s="102">
        <f>(((F12+R12)+(SUM(G12:Q12)*2))/24)</f>
        <v>879064644.87300527</v>
      </c>
    </row>
    <row r="14" spans="1:30" x14ac:dyDescent="0.2">
      <c r="A14" s="126" t="s">
        <v>122</v>
      </c>
    </row>
    <row r="15" spans="1:30" x14ac:dyDescent="0.2">
      <c r="B15" s="101" t="s">
        <v>118</v>
      </c>
      <c r="C15" s="100" t="s">
        <v>117</v>
      </c>
      <c r="D15" s="124"/>
      <c r="E15" s="125">
        <v>45658</v>
      </c>
      <c r="F15" s="125">
        <v>45689</v>
      </c>
      <c r="G15" s="125">
        <v>45717</v>
      </c>
      <c r="H15" s="125">
        <v>45748</v>
      </c>
      <c r="I15" s="125">
        <v>45778</v>
      </c>
      <c r="J15" s="125">
        <v>45809</v>
      </c>
      <c r="K15" s="125">
        <v>45839</v>
      </c>
      <c r="L15" s="125">
        <v>45870</v>
      </c>
      <c r="M15" s="125">
        <v>45901</v>
      </c>
      <c r="N15" s="125">
        <v>45931</v>
      </c>
      <c r="O15" s="125">
        <v>45962</v>
      </c>
      <c r="P15" s="125">
        <v>45992</v>
      </c>
      <c r="Q15" s="125">
        <v>46023</v>
      </c>
      <c r="R15" s="125">
        <v>46054</v>
      </c>
      <c r="S15" s="125" t="s">
        <v>120</v>
      </c>
      <c r="T15" s="124"/>
      <c r="U15" s="125" t="s">
        <v>127</v>
      </c>
      <c r="V15" s="124"/>
      <c r="W15" s="124"/>
      <c r="X15" s="124"/>
      <c r="Y15" s="124"/>
      <c r="Z15" s="124"/>
      <c r="AA15" s="124"/>
      <c r="AB15" s="124"/>
      <c r="AC15" s="124"/>
      <c r="AD15" s="124"/>
    </row>
    <row r="16" spans="1:30" x14ac:dyDescent="0.2">
      <c r="A16" s="97" t="s">
        <v>134</v>
      </c>
      <c r="B16" s="128" t="s">
        <v>132</v>
      </c>
      <c r="C16" s="122" t="s">
        <v>133</v>
      </c>
      <c r="D16" s="102"/>
      <c r="E16" s="102">
        <f>(((D12+E12)/2)*$D$34)/12</f>
        <v>1742268.6443967624</v>
      </c>
      <c r="F16" s="102">
        <f>(((E12+F12)/2)*$D$34)/12</f>
        <v>1742268.6443967624</v>
      </c>
      <c r="G16" s="102">
        <f>(((F12+G12)/2)*$D$34)/12</f>
        <v>1742268.6443967624</v>
      </c>
      <c r="H16" s="102">
        <f>(((G12+H12)/2)*$D$34)/12</f>
        <v>1742268.6443967624</v>
      </c>
      <c r="I16" s="102">
        <f>(((H12+I12)/2)*$D$34)/12</f>
        <v>1742268.6443967624</v>
      </c>
      <c r="J16" s="102">
        <f>(((I12+J12)/2)*$D$34)/12</f>
        <v>1742829.5976931418</v>
      </c>
      <c r="K16" s="102">
        <f>(((J12+K12)/2)*$D$34)/12</f>
        <v>1743390.5509895217</v>
      </c>
      <c r="L16" s="102">
        <f>(((K12+L12)/2)*$D$34)/12</f>
        <v>1743390.5509895217</v>
      </c>
      <c r="M16" s="102">
        <f>(((L12+M12)/2)*$D$34)/12</f>
        <v>3197976.7713776813</v>
      </c>
      <c r="N16" s="102">
        <f>(((M12+N12)/2)*$D$34)/12</f>
        <v>4652562.9917658409</v>
      </c>
      <c r="O16" s="102">
        <f>(((N12+O12)/2)*$D$34)/12</f>
        <v>4652562.9917658409</v>
      </c>
      <c r="P16" s="102">
        <f>(((O12+P12)/2)*$D$34)/12</f>
        <v>4668457.0753035257</v>
      </c>
      <c r="Q16" s="102">
        <f>(((P12+Q12)/2)*$D$34)/12</f>
        <v>4684351.1588412104</v>
      </c>
      <c r="R16" s="102">
        <f>(((Q12+R12)/2)*$D$34)/12</f>
        <v>4684351.1588412104</v>
      </c>
      <c r="S16" s="102">
        <f>SUM(E16:P16)</f>
        <v>31112513.751868889</v>
      </c>
      <c r="U16" s="102">
        <f>SUM(G16:R16)</f>
        <v>36996678.780757785</v>
      </c>
    </row>
    <row r="17" spans="1:30" x14ac:dyDescent="0.2">
      <c r="A17" s="101"/>
    </row>
    <row r="18" spans="1:30" x14ac:dyDescent="0.2">
      <c r="A18" s="126"/>
    </row>
    <row r="19" spans="1:30" x14ac:dyDescent="0.2">
      <c r="A19" s="126" t="s">
        <v>119</v>
      </c>
      <c r="B19" s="101"/>
      <c r="C19" s="100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00" t="s">
        <v>113</v>
      </c>
      <c r="U19" s="100" t="s">
        <v>113</v>
      </c>
    </row>
    <row r="20" spans="1:30" x14ac:dyDescent="0.2">
      <c r="B20" s="101" t="s">
        <v>118</v>
      </c>
      <c r="C20" s="100" t="s">
        <v>117</v>
      </c>
      <c r="D20" s="125">
        <v>45627</v>
      </c>
      <c r="E20" s="125">
        <v>45658</v>
      </c>
      <c r="F20" s="125">
        <v>45689</v>
      </c>
      <c r="G20" s="125">
        <v>45717</v>
      </c>
      <c r="H20" s="125">
        <v>45748</v>
      </c>
      <c r="I20" s="125">
        <v>45778</v>
      </c>
      <c r="J20" s="125">
        <v>45809</v>
      </c>
      <c r="K20" s="125">
        <v>45839</v>
      </c>
      <c r="L20" s="125">
        <v>45870</v>
      </c>
      <c r="M20" s="125">
        <v>45901</v>
      </c>
      <c r="N20" s="125">
        <v>45931</v>
      </c>
      <c r="O20" s="125">
        <v>45962</v>
      </c>
      <c r="P20" s="125">
        <v>45992</v>
      </c>
      <c r="Q20" s="125">
        <v>46023</v>
      </c>
      <c r="R20" s="125">
        <v>46054</v>
      </c>
      <c r="S20" s="125">
        <v>45992</v>
      </c>
      <c r="T20" s="124"/>
      <c r="U20" s="125">
        <f>R20</f>
        <v>46054</v>
      </c>
      <c r="V20" s="124"/>
      <c r="W20" s="124"/>
      <c r="X20" s="124"/>
      <c r="Y20" s="124"/>
      <c r="Z20" s="124"/>
      <c r="AA20" s="124"/>
      <c r="AB20" s="124"/>
      <c r="AC20" s="124"/>
      <c r="AD20" s="124"/>
    </row>
    <row r="21" spans="1:30" x14ac:dyDescent="0.2">
      <c r="A21" s="97" t="s">
        <v>134</v>
      </c>
      <c r="B21" s="128" t="s">
        <v>131</v>
      </c>
      <c r="C21" s="122" t="s">
        <v>133</v>
      </c>
      <c r="D21" s="102">
        <v>-1224632.5447295103</v>
      </c>
      <c r="E21" s="102">
        <f>D21-E16</f>
        <v>-2966901.1891262727</v>
      </c>
      <c r="F21" s="102">
        <f>E21-F16</f>
        <v>-4709169.833523035</v>
      </c>
      <c r="G21" s="102">
        <f>F21-G16</f>
        <v>-6451438.4779197974</v>
      </c>
      <c r="H21" s="102">
        <f>G21-H16</f>
        <v>-8193707.1223165598</v>
      </c>
      <c r="I21" s="102">
        <f>H21-I16</f>
        <v>-9935975.7667133212</v>
      </c>
      <c r="J21" s="102">
        <f>I21-J16</f>
        <v>-11678805.364406463</v>
      </c>
      <c r="K21" s="102">
        <f>J21-K16</f>
        <v>-13422195.915395984</v>
      </c>
      <c r="L21" s="102">
        <f>K21-L16</f>
        <v>-15165586.466385506</v>
      </c>
      <c r="M21" s="102">
        <f>L21-M16</f>
        <v>-18363563.237763189</v>
      </c>
      <c r="N21" s="102">
        <f>M21-N16</f>
        <v>-23016126.229529031</v>
      </c>
      <c r="O21" s="102">
        <f>N21-O16</f>
        <v>-27668689.221294872</v>
      </c>
      <c r="P21" s="102">
        <f>O21-P16</f>
        <v>-32337146.296598397</v>
      </c>
      <c r="Q21" s="102">
        <f>P21-Q16</f>
        <v>-37021497.455439605</v>
      </c>
      <c r="R21" s="102">
        <f>Q21-R16</f>
        <v>-41705848.614280812</v>
      </c>
      <c r="S21" s="102">
        <f>(((D21+P21)+(SUM(E21:O21)*2))/24)</f>
        <v>-13196087.353753164</v>
      </c>
      <c r="U21" s="102">
        <f>(((F21+R21)+(SUM(G21:Q21)*2))/24)</f>
        <v>-18871853.398138721</v>
      </c>
    </row>
    <row r="22" spans="1:30" x14ac:dyDescent="0.2">
      <c r="A22" s="121"/>
    </row>
    <row r="23" spans="1:30" ht="13.5" thickBot="1" x14ac:dyDescent="0.25"/>
    <row r="24" spans="1:30" x14ac:dyDescent="0.2">
      <c r="D24" s="120"/>
      <c r="E24" s="119" t="s">
        <v>113</v>
      </c>
      <c r="F24" s="119" t="s">
        <v>113</v>
      </c>
      <c r="G24" s="118"/>
    </row>
    <row r="25" spans="1:30" x14ac:dyDescent="0.2">
      <c r="D25" s="117"/>
      <c r="E25" s="116" t="s">
        <v>111</v>
      </c>
      <c r="F25" s="116" t="s">
        <v>126</v>
      </c>
      <c r="G25" s="115" t="s">
        <v>110</v>
      </c>
    </row>
    <row r="26" spans="1:30" x14ac:dyDescent="0.2">
      <c r="A26" s="99"/>
      <c r="C26" s="110"/>
      <c r="D26" s="112">
        <v>343</v>
      </c>
      <c r="E26" s="102">
        <v>29098049.027916599</v>
      </c>
      <c r="F26" s="102">
        <f>S12</f>
        <v>739253137.13883924</v>
      </c>
      <c r="G26" s="111">
        <f>F26-E26</f>
        <v>710155088.11092269</v>
      </c>
      <c r="H26" s="101" t="s">
        <v>138</v>
      </c>
    </row>
    <row r="27" spans="1:30" x14ac:dyDescent="0.2">
      <c r="A27" s="99"/>
      <c r="C27" s="110"/>
      <c r="D27" s="112"/>
      <c r="E27" s="102"/>
      <c r="F27" s="102"/>
      <c r="G27" s="111"/>
      <c r="H27" s="101"/>
      <c r="S27" s="105">
        <v>58983362.603205428</v>
      </c>
      <c r="U27" s="105">
        <v>70138611.654568449</v>
      </c>
    </row>
    <row r="28" spans="1:30" x14ac:dyDescent="0.2">
      <c r="A28" s="99"/>
      <c r="C28" s="110"/>
      <c r="D28" s="114" t="s">
        <v>132</v>
      </c>
      <c r="E28" s="102">
        <v>1224632.5447295106</v>
      </c>
      <c r="F28" s="102">
        <f>S16</f>
        <v>31112513.751868889</v>
      </c>
      <c r="G28" s="111">
        <f>F28-E28</f>
        <v>29887881.207139377</v>
      </c>
      <c r="H28" s="101" t="s">
        <v>138</v>
      </c>
      <c r="I28" s="113"/>
      <c r="J28" s="102"/>
      <c r="U28" s="105">
        <f>U27-S27</f>
        <v>11155249.051363021</v>
      </c>
    </row>
    <row r="29" spans="1:30" x14ac:dyDescent="0.2">
      <c r="A29" s="99"/>
      <c r="C29" s="110"/>
      <c r="D29" s="112"/>
      <c r="E29" s="102"/>
      <c r="F29" s="102"/>
      <c r="G29" s="111"/>
      <c r="H29" s="101"/>
    </row>
    <row r="30" spans="1:30" ht="13.5" thickBot="1" x14ac:dyDescent="0.25">
      <c r="A30" s="99"/>
      <c r="C30" s="110"/>
      <c r="D30" s="109" t="s">
        <v>131</v>
      </c>
      <c r="E30" s="108">
        <v>-65755.448635859982</v>
      </c>
      <c r="F30" s="108">
        <f>S21</f>
        <v>-13196087.353753164</v>
      </c>
      <c r="G30" s="107">
        <f>F30-E30</f>
        <v>-13130331.905117305</v>
      </c>
      <c r="H30" s="101" t="s">
        <v>138</v>
      </c>
    </row>
    <row r="31" spans="1:30" x14ac:dyDescent="0.2">
      <c r="E31" s="129" t="s">
        <v>137</v>
      </c>
    </row>
    <row r="32" spans="1:30" x14ac:dyDescent="0.2">
      <c r="E32" s="129" t="s">
        <v>136</v>
      </c>
    </row>
    <row r="33" spans="1:9" x14ac:dyDescent="0.2">
      <c r="G33" s="106"/>
      <c r="H33" s="106"/>
    </row>
    <row r="34" spans="1:9" x14ac:dyDescent="0.2">
      <c r="A34" s="97" t="s">
        <v>129</v>
      </c>
      <c r="D34" s="104">
        <v>4.2086414231916398E-2</v>
      </c>
      <c r="E34" s="100"/>
      <c r="F34" s="100"/>
      <c r="G34" s="100"/>
      <c r="H34" s="100"/>
    </row>
    <row r="35" spans="1:9" x14ac:dyDescent="0.2">
      <c r="E35" s="100"/>
      <c r="F35" s="100"/>
      <c r="G35" s="100"/>
      <c r="H35" s="100"/>
    </row>
    <row r="36" spans="1:9" x14ac:dyDescent="0.2">
      <c r="E36" s="102"/>
      <c r="F36" s="103"/>
      <c r="G36" s="102"/>
      <c r="H36" s="102"/>
      <c r="I36" s="101"/>
    </row>
    <row r="37" spans="1:9" x14ac:dyDescent="0.2">
      <c r="E37" s="102"/>
      <c r="F37" s="103"/>
      <c r="G37" s="102"/>
      <c r="H37" s="102"/>
      <c r="I37" s="101"/>
    </row>
    <row r="38" spans="1:9" x14ac:dyDescent="0.2">
      <c r="E38" s="101"/>
      <c r="F38" s="100"/>
    </row>
    <row r="40" spans="1:9" x14ac:dyDescent="0.2">
      <c r="A40" s="99"/>
      <c r="D40" s="98"/>
    </row>
    <row r="41" spans="1:9" x14ac:dyDescent="0.2">
      <c r="A41" s="99"/>
      <c r="D41" s="98"/>
    </row>
  </sheetData>
  <pageMargins left="0.7" right="0.7" top="0.75" bottom="0.75" header="0.3" footer="0.3"/>
  <pageSetup scale="44" orientation="landscape" r:id="rId1"/>
  <headerFooter>
    <oddFooter>&amp;C&amp;"Arial,Regular"&amp;10Page 14.9.1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418A6-83B2-4FA2-821C-C07DDE6C7B6B}">
  <sheetPr>
    <tabColor theme="9" tint="0.39997558519241921"/>
  </sheetPr>
  <dimension ref="A1:AD171"/>
  <sheetViews>
    <sheetView zoomScaleNormal="100" zoomScaleSheetLayoutView="90" workbookViewId="0">
      <pane ySplit="10" topLeftCell="A132" activePane="bottomLeft" state="frozen"/>
      <selection activeCell="F35" sqref="F35"/>
      <selection pane="bottomLeft" activeCell="F35" sqref="F35"/>
    </sheetView>
  </sheetViews>
  <sheetFormatPr defaultColWidth="9.140625" defaultRowHeight="15" x14ac:dyDescent="0.25"/>
  <cols>
    <col min="1" max="1" width="25.5703125" style="139" bestFit="1" customWidth="1"/>
    <col min="2" max="2" width="13.85546875" style="139" customWidth="1"/>
    <col min="3" max="3" width="16.7109375" style="139" customWidth="1"/>
    <col min="4" max="4" width="15.140625" style="139" customWidth="1"/>
    <col min="5" max="5" width="12.85546875" style="140" customWidth="1"/>
    <col min="6" max="6" width="14.7109375" style="139" customWidth="1"/>
    <col min="7" max="7" width="11.7109375" style="139" bestFit="1" customWidth="1"/>
    <col min="8" max="8" width="15.140625" style="139" customWidth="1"/>
    <col min="9" max="10" width="13.85546875" style="139" customWidth="1"/>
    <col min="11" max="11" width="17.7109375" style="139" bestFit="1" customWidth="1"/>
    <col min="12" max="12" width="22.42578125" style="140" bestFit="1" customWidth="1"/>
    <col min="13" max="13" width="14" style="139" bestFit="1" customWidth="1"/>
    <col min="14" max="14" width="9.140625" style="139"/>
    <col min="15" max="15" width="25.5703125" style="139" bestFit="1" customWidth="1"/>
    <col min="16" max="17" width="13.85546875" style="139" customWidth="1"/>
    <col min="18" max="18" width="17.7109375" style="139" bestFit="1" customWidth="1"/>
    <col min="19" max="19" width="22.42578125" style="140" bestFit="1" customWidth="1"/>
    <col min="20" max="20" width="14" style="139" bestFit="1" customWidth="1"/>
    <col min="21" max="16384" width="9.140625" style="139"/>
  </cols>
  <sheetData>
    <row r="1" spans="1:30" x14ac:dyDescent="0.25">
      <c r="O1" s="155"/>
      <c r="P1" s="155"/>
      <c r="Q1" s="155"/>
      <c r="R1" s="155"/>
      <c r="S1" s="156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</row>
    <row r="2" spans="1:30" x14ac:dyDescent="0.25">
      <c r="O2" s="155"/>
      <c r="P2" s="155"/>
      <c r="Q2" s="155"/>
      <c r="R2" s="155"/>
      <c r="S2" s="156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</row>
    <row r="3" spans="1:30" x14ac:dyDescent="0.25">
      <c r="A3" s="130" t="s">
        <v>188</v>
      </c>
      <c r="H3" s="130" t="s">
        <v>188</v>
      </c>
      <c r="O3" s="149"/>
      <c r="P3" s="155"/>
      <c r="Q3" s="155"/>
      <c r="R3" s="155"/>
      <c r="S3" s="156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</row>
    <row r="4" spans="1:30" x14ac:dyDescent="0.25">
      <c r="A4" s="130" t="s">
        <v>187</v>
      </c>
      <c r="H4" s="130" t="s">
        <v>189</v>
      </c>
      <c r="O4" s="149"/>
      <c r="P4" s="155"/>
      <c r="Q4" s="155"/>
      <c r="R4" s="155"/>
      <c r="S4" s="156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</row>
    <row r="5" spans="1:30" x14ac:dyDescent="0.25">
      <c r="A5" s="130" t="s">
        <v>186</v>
      </c>
      <c r="H5" s="130" t="s">
        <v>190</v>
      </c>
      <c r="O5" s="149"/>
      <c r="P5" s="155"/>
      <c r="Q5" s="155"/>
      <c r="R5" s="155"/>
      <c r="S5" s="156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</row>
    <row r="6" spans="1:30" x14ac:dyDescent="0.25">
      <c r="A6" s="130" t="s">
        <v>191</v>
      </c>
      <c r="H6" s="130" t="s">
        <v>192</v>
      </c>
      <c r="O6" s="149"/>
      <c r="P6" s="155"/>
      <c r="Q6" s="155"/>
      <c r="R6" s="155"/>
      <c r="S6" s="156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</row>
    <row r="7" spans="1:30" x14ac:dyDescent="0.25">
      <c r="O7" s="155"/>
      <c r="P7" s="155"/>
      <c r="Q7" s="155"/>
      <c r="R7" s="155"/>
      <c r="S7" s="156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</row>
    <row r="8" spans="1:30" x14ac:dyDescent="0.25">
      <c r="A8" s="141"/>
      <c r="H8" s="141"/>
      <c r="O8" s="157"/>
      <c r="P8" s="155"/>
      <c r="Q8" s="155"/>
      <c r="R8" s="155"/>
      <c r="S8" s="156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</row>
    <row r="9" spans="1:30" ht="12.75" x14ac:dyDescent="0.25">
      <c r="A9" s="131"/>
      <c r="B9" s="131"/>
      <c r="C9" s="131"/>
      <c r="D9" s="131"/>
      <c r="E9" s="132"/>
      <c r="H9" s="131"/>
      <c r="I9" s="131"/>
      <c r="J9" s="131"/>
      <c r="K9" s="131"/>
      <c r="L9" s="132"/>
      <c r="O9" s="158"/>
      <c r="P9" s="158"/>
      <c r="Q9" s="158"/>
      <c r="R9" s="158"/>
      <c r="S9" s="147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</row>
    <row r="10" spans="1:30" ht="12.75" x14ac:dyDescent="0.25">
      <c r="A10" s="133" t="s">
        <v>185</v>
      </c>
      <c r="B10" s="134" t="s">
        <v>184</v>
      </c>
      <c r="C10" s="134" t="s">
        <v>183</v>
      </c>
      <c r="D10" s="134" t="s">
        <v>182</v>
      </c>
      <c r="E10" s="135" t="s">
        <v>67</v>
      </c>
      <c r="H10" s="133" t="s">
        <v>185</v>
      </c>
      <c r="I10" s="134" t="s">
        <v>184</v>
      </c>
      <c r="J10" s="134" t="s">
        <v>183</v>
      </c>
      <c r="K10" s="134" t="s">
        <v>182</v>
      </c>
      <c r="L10" s="135" t="s">
        <v>67</v>
      </c>
      <c r="O10" s="158"/>
      <c r="P10" s="149"/>
      <c r="Q10" s="149"/>
      <c r="R10" s="149"/>
      <c r="S10" s="148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</row>
    <row r="11" spans="1:30" x14ac:dyDescent="0.25">
      <c r="A11" s="141">
        <v>2015</v>
      </c>
      <c r="B11" s="139" t="s">
        <v>168</v>
      </c>
      <c r="C11" s="139" t="s">
        <v>161</v>
      </c>
      <c r="D11" s="139" t="s">
        <v>160</v>
      </c>
      <c r="E11" s="140">
        <v>72259.339999999982</v>
      </c>
      <c r="H11" s="141">
        <v>2015</v>
      </c>
      <c r="I11" s="139" t="s">
        <v>168</v>
      </c>
      <c r="J11" s="139" t="s">
        <v>161</v>
      </c>
      <c r="K11" s="139" t="s">
        <v>160</v>
      </c>
      <c r="L11" s="142">
        <v>69128.84</v>
      </c>
      <c r="O11" s="157"/>
      <c r="P11" s="155"/>
      <c r="Q11" s="155"/>
      <c r="R11" s="155"/>
      <c r="S11" s="156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</row>
    <row r="12" spans="1:30" x14ac:dyDescent="0.25">
      <c r="A12" s="141"/>
      <c r="B12" s="139" t="s">
        <v>167</v>
      </c>
      <c r="C12" s="139" t="s">
        <v>161</v>
      </c>
      <c r="D12" s="139" t="s">
        <v>160</v>
      </c>
      <c r="E12" s="140">
        <v>72642.78</v>
      </c>
      <c r="H12" s="141"/>
      <c r="I12" s="139" t="s">
        <v>167</v>
      </c>
      <c r="J12" s="139" t="s">
        <v>161</v>
      </c>
      <c r="K12" s="139" t="s">
        <v>160</v>
      </c>
      <c r="L12" s="142">
        <v>69128.83</v>
      </c>
      <c r="O12" s="157"/>
      <c r="P12" s="155"/>
      <c r="Q12" s="155"/>
      <c r="R12" s="155"/>
      <c r="S12" s="156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</row>
    <row r="13" spans="1:30" x14ac:dyDescent="0.25">
      <c r="A13" s="141"/>
      <c r="B13" s="139" t="s">
        <v>166</v>
      </c>
      <c r="C13" s="139" t="s">
        <v>161</v>
      </c>
      <c r="D13" s="139" t="s">
        <v>160</v>
      </c>
      <c r="E13" s="140">
        <v>72133.440000000002</v>
      </c>
      <c r="H13" s="141"/>
      <c r="I13" s="139" t="s">
        <v>166</v>
      </c>
      <c r="J13" s="139" t="s">
        <v>161</v>
      </c>
      <c r="K13" s="139" t="s">
        <v>160</v>
      </c>
      <c r="L13" s="142">
        <v>69128.84</v>
      </c>
      <c r="O13" s="157"/>
      <c r="P13" s="155"/>
      <c r="Q13" s="155"/>
      <c r="R13" s="155"/>
      <c r="S13" s="156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</row>
    <row r="14" spans="1:30" x14ac:dyDescent="0.25">
      <c r="A14" s="141"/>
      <c r="B14" s="139" t="s">
        <v>165</v>
      </c>
      <c r="C14" s="139" t="s">
        <v>161</v>
      </c>
      <c r="D14" s="139" t="s">
        <v>160</v>
      </c>
      <c r="E14" s="140">
        <v>71700.889999999956</v>
      </c>
      <c r="H14" s="141"/>
      <c r="I14" s="139" t="s">
        <v>165</v>
      </c>
      <c r="J14" s="139" t="s">
        <v>161</v>
      </c>
      <c r="K14" s="139" t="s">
        <v>160</v>
      </c>
      <c r="L14" s="142">
        <v>69065.19</v>
      </c>
      <c r="O14" s="157"/>
      <c r="P14" s="155"/>
      <c r="Q14" s="155"/>
      <c r="R14" s="155"/>
      <c r="S14" s="156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</row>
    <row r="15" spans="1:30" x14ac:dyDescent="0.25">
      <c r="A15" s="141"/>
      <c r="B15" s="139" t="s">
        <v>164</v>
      </c>
      <c r="C15" s="139" t="s">
        <v>161</v>
      </c>
      <c r="D15" s="139" t="s">
        <v>160</v>
      </c>
      <c r="E15" s="140">
        <v>70289.250000000015</v>
      </c>
      <c r="H15" s="141"/>
      <c r="I15" s="139" t="s">
        <v>164</v>
      </c>
      <c r="J15" s="139" t="s">
        <v>161</v>
      </c>
      <c r="K15" s="139" t="s">
        <v>160</v>
      </c>
      <c r="L15" s="142">
        <v>69065.2</v>
      </c>
      <c r="O15" s="157"/>
      <c r="P15" s="155"/>
      <c r="Q15" s="155"/>
      <c r="R15" s="155"/>
      <c r="S15" s="156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</row>
    <row r="16" spans="1:30" x14ac:dyDescent="0.25">
      <c r="A16" s="141"/>
      <c r="B16" s="139" t="s">
        <v>163</v>
      </c>
      <c r="C16" s="139" t="s">
        <v>161</v>
      </c>
      <c r="D16" s="139" t="s">
        <v>160</v>
      </c>
      <c r="E16" s="140">
        <v>69192.09</v>
      </c>
      <c r="H16" s="141"/>
      <c r="I16" s="139" t="s">
        <v>163</v>
      </c>
      <c r="J16" s="139" t="s">
        <v>161</v>
      </c>
      <c r="K16" s="139" t="s">
        <v>160</v>
      </c>
      <c r="L16" s="142">
        <v>69065.189999999988</v>
      </c>
      <c r="O16" s="157"/>
      <c r="P16" s="155"/>
      <c r="Q16" s="155"/>
      <c r="R16" s="155"/>
      <c r="S16" s="156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</row>
    <row r="17" spans="1:30" x14ac:dyDescent="0.25">
      <c r="A17" s="141"/>
      <c r="B17" s="139" t="s">
        <v>162</v>
      </c>
      <c r="C17" s="139" t="s">
        <v>161</v>
      </c>
      <c r="D17" s="139" t="s">
        <v>160</v>
      </c>
      <c r="E17" s="140">
        <v>68824.180000000051</v>
      </c>
      <c r="H17" s="141"/>
      <c r="I17" s="139" t="s">
        <v>162</v>
      </c>
      <c r="J17" s="139" t="s">
        <v>161</v>
      </c>
      <c r="K17" s="139" t="s">
        <v>160</v>
      </c>
      <c r="L17" s="142">
        <v>67319.980000000098</v>
      </c>
      <c r="O17" s="157"/>
      <c r="P17" s="155"/>
      <c r="Q17" s="155"/>
      <c r="R17" s="155"/>
      <c r="S17" s="156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</row>
    <row r="18" spans="1:30" x14ac:dyDescent="0.25">
      <c r="A18" s="141"/>
      <c r="B18" s="139" t="s">
        <v>174</v>
      </c>
      <c r="C18" s="139" t="s">
        <v>161</v>
      </c>
      <c r="D18" s="139" t="s">
        <v>160</v>
      </c>
      <c r="E18" s="140">
        <v>70657.129999999961</v>
      </c>
      <c r="H18" s="141"/>
      <c r="I18" s="139" t="s">
        <v>174</v>
      </c>
      <c r="J18" s="139" t="s">
        <v>161</v>
      </c>
      <c r="K18" s="139" t="s">
        <v>160</v>
      </c>
      <c r="L18" s="142">
        <v>67319.98</v>
      </c>
      <c r="O18" s="157"/>
      <c r="P18" s="155"/>
      <c r="Q18" s="155"/>
      <c r="R18" s="155"/>
      <c r="S18" s="156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</row>
    <row r="19" spans="1:30" x14ac:dyDescent="0.25">
      <c r="A19" s="141"/>
      <c r="B19" s="139" t="s">
        <v>173</v>
      </c>
      <c r="C19" s="139" t="s">
        <v>161</v>
      </c>
      <c r="D19" s="139" t="s">
        <v>160</v>
      </c>
      <c r="E19" s="140">
        <v>67687.819999999992</v>
      </c>
      <c r="H19" s="141"/>
      <c r="I19" s="139" t="s">
        <v>173</v>
      </c>
      <c r="J19" s="139" t="s">
        <v>161</v>
      </c>
      <c r="K19" s="139" t="s">
        <v>160</v>
      </c>
      <c r="L19" s="142">
        <v>67319.92</v>
      </c>
      <c r="O19" s="157"/>
      <c r="P19" s="155"/>
      <c r="Q19" s="155"/>
      <c r="R19" s="155"/>
      <c r="S19" s="156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</row>
    <row r="20" spans="1:30" x14ac:dyDescent="0.25">
      <c r="A20" s="141"/>
      <c r="B20" s="139" t="s">
        <v>172</v>
      </c>
      <c r="C20" s="139" t="s">
        <v>161</v>
      </c>
      <c r="D20" s="139" t="s">
        <v>160</v>
      </c>
      <c r="E20" s="140">
        <v>97267.975753939987</v>
      </c>
      <c r="H20" s="141"/>
      <c r="I20" s="139" t="s">
        <v>172</v>
      </c>
      <c r="J20" s="139" t="s">
        <v>161</v>
      </c>
      <c r="K20" s="139" t="s">
        <v>160</v>
      </c>
      <c r="L20" s="142">
        <v>67355.61</v>
      </c>
      <c r="O20" s="157"/>
      <c r="P20" s="155"/>
      <c r="Q20" s="155"/>
      <c r="R20" s="155"/>
      <c r="S20" s="156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</row>
    <row r="21" spans="1:30" x14ac:dyDescent="0.25">
      <c r="A21" s="141"/>
      <c r="B21" s="139" t="s">
        <v>171</v>
      </c>
      <c r="C21" s="139" t="s">
        <v>161</v>
      </c>
      <c r="D21" s="139" t="s">
        <v>160</v>
      </c>
      <c r="E21" s="140">
        <v>76315.467688519988</v>
      </c>
      <c r="H21" s="141"/>
      <c r="I21" s="139" t="s">
        <v>171</v>
      </c>
      <c r="J21" s="139" t="s">
        <v>161</v>
      </c>
      <c r="K21" s="139" t="s">
        <v>160</v>
      </c>
      <c r="L21" s="142">
        <v>67355.61</v>
      </c>
      <c r="O21" s="157"/>
      <c r="P21" s="155"/>
      <c r="Q21" s="155"/>
      <c r="R21" s="155"/>
      <c r="S21" s="156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</row>
    <row r="22" spans="1:30" x14ac:dyDescent="0.25">
      <c r="A22" s="141"/>
      <c r="B22" s="139" t="s">
        <v>170</v>
      </c>
      <c r="C22" s="139" t="s">
        <v>161</v>
      </c>
      <c r="D22" s="139" t="s">
        <v>160</v>
      </c>
      <c r="E22" s="140">
        <v>81924.054780220016</v>
      </c>
      <c r="H22" s="141"/>
      <c r="I22" s="139" t="s">
        <v>170</v>
      </c>
      <c r="J22" s="139" t="s">
        <v>161</v>
      </c>
      <c r="K22" s="139" t="s">
        <v>160</v>
      </c>
      <c r="L22" s="142">
        <v>67355.42</v>
      </c>
      <c r="O22" s="157"/>
      <c r="P22" s="155"/>
      <c r="Q22" s="155"/>
      <c r="R22" s="155"/>
      <c r="S22" s="156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</row>
    <row r="23" spans="1:30" s="130" customFormat="1" ht="13.5" thickBot="1" x14ac:dyDescent="0.3">
      <c r="A23" s="131" t="s">
        <v>181</v>
      </c>
      <c r="B23" s="131"/>
      <c r="C23" s="131"/>
      <c r="D23" s="131"/>
      <c r="E23" s="136">
        <v>890894.41822267987</v>
      </c>
      <c r="H23" s="131" t="s">
        <v>181</v>
      </c>
      <c r="I23" s="131"/>
      <c r="J23" s="131"/>
      <c r="K23" s="131"/>
      <c r="L23" s="136">
        <v>818608.6100000001</v>
      </c>
      <c r="O23" s="158"/>
      <c r="P23" s="158"/>
      <c r="Q23" s="158"/>
      <c r="R23" s="158"/>
      <c r="S23" s="147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ht="15.75" thickTop="1" x14ac:dyDescent="0.25">
      <c r="A24" s="141">
        <v>2016</v>
      </c>
      <c r="B24" s="139" t="s">
        <v>168</v>
      </c>
      <c r="C24" s="139" t="s">
        <v>161</v>
      </c>
      <c r="D24" s="139" t="s">
        <v>160</v>
      </c>
      <c r="E24" s="140">
        <v>85377.792093819939</v>
      </c>
      <c r="H24" s="141">
        <v>2016</v>
      </c>
      <c r="I24" s="139" t="s">
        <v>168</v>
      </c>
      <c r="J24" s="139" t="s">
        <v>161</v>
      </c>
      <c r="K24" s="139" t="s">
        <v>160</v>
      </c>
      <c r="L24" s="142">
        <v>67154.180000000008</v>
      </c>
      <c r="O24" s="157"/>
      <c r="P24" s="155"/>
      <c r="Q24" s="155"/>
      <c r="R24" s="155"/>
      <c r="S24" s="156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</row>
    <row r="25" spans="1:30" x14ac:dyDescent="0.25">
      <c r="A25" s="141"/>
      <c r="B25" s="139" t="s">
        <v>167</v>
      </c>
      <c r="C25" s="139" t="s">
        <v>161</v>
      </c>
      <c r="D25" s="139" t="s">
        <v>160</v>
      </c>
      <c r="E25" s="140">
        <v>12321.359683500003</v>
      </c>
      <c r="H25" s="141"/>
      <c r="I25" s="139" t="s">
        <v>167</v>
      </c>
      <c r="J25" s="139" t="s">
        <v>161</v>
      </c>
      <c r="K25" s="139" t="s">
        <v>160</v>
      </c>
      <c r="L25" s="142">
        <v>67154.179999999993</v>
      </c>
      <c r="O25" s="157"/>
      <c r="P25" s="155"/>
      <c r="Q25" s="155"/>
      <c r="R25" s="155"/>
      <c r="S25" s="156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</row>
    <row r="26" spans="1:30" x14ac:dyDescent="0.25">
      <c r="A26" s="141"/>
      <c r="B26" s="139" t="s">
        <v>166</v>
      </c>
      <c r="C26" s="139" t="s">
        <v>161</v>
      </c>
      <c r="D26" s="139" t="s">
        <v>160</v>
      </c>
      <c r="E26" s="140">
        <v>72025.839999999982</v>
      </c>
      <c r="H26" s="141"/>
      <c r="I26" s="139" t="s">
        <v>166</v>
      </c>
      <c r="J26" s="139" t="s">
        <v>161</v>
      </c>
      <c r="K26" s="139" t="s">
        <v>160</v>
      </c>
      <c r="L26" s="142">
        <v>67154.09</v>
      </c>
      <c r="O26" s="157"/>
      <c r="P26" s="155"/>
      <c r="Q26" s="155"/>
      <c r="R26" s="155"/>
      <c r="S26" s="156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</row>
    <row r="27" spans="1:30" x14ac:dyDescent="0.25">
      <c r="A27" s="141"/>
      <c r="B27" s="139" t="s">
        <v>165</v>
      </c>
      <c r="C27" s="139" t="s">
        <v>161</v>
      </c>
      <c r="D27" s="139" t="s">
        <v>160</v>
      </c>
      <c r="E27" s="140">
        <v>67815.14</v>
      </c>
      <c r="H27" s="141"/>
      <c r="I27" s="139" t="s">
        <v>165</v>
      </c>
      <c r="J27" s="139" t="s">
        <v>161</v>
      </c>
      <c r="K27" s="139" t="s">
        <v>160</v>
      </c>
      <c r="L27" s="142">
        <v>66883.839999999997</v>
      </c>
      <c r="O27" s="157"/>
      <c r="P27" s="155"/>
      <c r="Q27" s="155"/>
      <c r="R27" s="155"/>
      <c r="S27" s="156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</row>
    <row r="28" spans="1:30" x14ac:dyDescent="0.25">
      <c r="A28" s="141"/>
      <c r="B28" s="139" t="s">
        <v>164</v>
      </c>
      <c r="C28" s="139" t="s">
        <v>161</v>
      </c>
      <c r="D28" s="139" t="s">
        <v>160</v>
      </c>
      <c r="E28" s="140">
        <v>70948.09</v>
      </c>
      <c r="H28" s="141"/>
      <c r="I28" s="139" t="s">
        <v>164</v>
      </c>
      <c r="J28" s="139" t="s">
        <v>161</v>
      </c>
      <c r="K28" s="139" t="s">
        <v>160</v>
      </c>
      <c r="L28" s="142">
        <v>67501.34</v>
      </c>
      <c r="O28" s="157"/>
      <c r="P28" s="155"/>
      <c r="Q28" s="155"/>
      <c r="R28" s="155"/>
      <c r="S28" s="156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</row>
    <row r="29" spans="1:30" x14ac:dyDescent="0.25">
      <c r="A29" s="141"/>
      <c r="B29" s="139" t="s">
        <v>163</v>
      </c>
      <c r="C29" s="139" t="s">
        <v>161</v>
      </c>
      <c r="D29" s="139" t="s">
        <v>160</v>
      </c>
      <c r="E29" s="140">
        <v>74169.929999999906</v>
      </c>
      <c r="H29" s="141"/>
      <c r="I29" s="139" t="s">
        <v>163</v>
      </c>
      <c r="J29" s="139" t="s">
        <v>161</v>
      </c>
      <c r="K29" s="139" t="s">
        <v>160</v>
      </c>
      <c r="L29" s="142">
        <v>66883.930000000008</v>
      </c>
      <c r="O29" s="157"/>
      <c r="P29" s="155"/>
      <c r="Q29" s="155"/>
      <c r="R29" s="155"/>
      <c r="S29" s="156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</row>
    <row r="30" spans="1:30" x14ac:dyDescent="0.25">
      <c r="A30" s="141"/>
      <c r="B30" s="139" t="s">
        <v>162</v>
      </c>
      <c r="C30" s="139" t="s">
        <v>161</v>
      </c>
      <c r="D30" s="139" t="s">
        <v>160</v>
      </c>
      <c r="E30" s="140">
        <v>65933.319999999789</v>
      </c>
      <c r="H30" s="141"/>
      <c r="I30" s="139" t="s">
        <v>162</v>
      </c>
      <c r="J30" s="139" t="s">
        <v>161</v>
      </c>
      <c r="K30" s="139" t="s">
        <v>160</v>
      </c>
      <c r="L30" s="142">
        <v>62884.619999999879</v>
      </c>
      <c r="O30" s="157"/>
      <c r="P30" s="155"/>
      <c r="Q30" s="155"/>
      <c r="R30" s="155"/>
      <c r="S30" s="156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</row>
    <row r="31" spans="1:30" x14ac:dyDescent="0.25">
      <c r="A31" s="141"/>
      <c r="B31" s="139" t="s">
        <v>174</v>
      </c>
      <c r="C31" s="139" t="s">
        <v>161</v>
      </c>
      <c r="D31" s="139" t="s">
        <v>160</v>
      </c>
      <c r="E31" s="140">
        <v>63516.100000000006</v>
      </c>
      <c r="H31" s="141"/>
      <c r="I31" s="139" t="s">
        <v>174</v>
      </c>
      <c r="J31" s="139" t="s">
        <v>161</v>
      </c>
      <c r="K31" s="139" t="s">
        <v>160</v>
      </c>
      <c r="L31" s="142">
        <v>62884.6</v>
      </c>
      <c r="O31" s="157"/>
      <c r="P31" s="155"/>
      <c r="Q31" s="155"/>
      <c r="R31" s="155"/>
      <c r="S31" s="156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</row>
    <row r="32" spans="1:30" x14ac:dyDescent="0.25">
      <c r="A32" s="141"/>
      <c r="B32" s="139" t="s">
        <v>173</v>
      </c>
      <c r="C32" s="139" t="s">
        <v>161</v>
      </c>
      <c r="D32" s="139" t="s">
        <v>160</v>
      </c>
      <c r="E32" s="140">
        <v>67014.209999999992</v>
      </c>
      <c r="H32" s="141"/>
      <c r="I32" s="139" t="s">
        <v>173</v>
      </c>
      <c r="J32" s="139" t="s">
        <v>161</v>
      </c>
      <c r="K32" s="139" t="s">
        <v>160</v>
      </c>
      <c r="L32" s="142">
        <v>62884.61</v>
      </c>
      <c r="O32" s="157"/>
      <c r="P32" s="155"/>
      <c r="Q32" s="155"/>
      <c r="R32" s="155"/>
      <c r="S32" s="156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</row>
    <row r="33" spans="1:30" x14ac:dyDescent="0.25">
      <c r="A33" s="141"/>
      <c r="B33" s="139" t="s">
        <v>172</v>
      </c>
      <c r="C33" s="139" t="s">
        <v>161</v>
      </c>
      <c r="D33" s="139" t="s">
        <v>160</v>
      </c>
      <c r="E33" s="140">
        <v>61489.689999999995</v>
      </c>
      <c r="H33" s="141"/>
      <c r="I33" s="139" t="s">
        <v>172</v>
      </c>
      <c r="J33" s="139" t="s">
        <v>161</v>
      </c>
      <c r="K33" s="139" t="s">
        <v>160</v>
      </c>
      <c r="L33" s="142">
        <v>63087.739999999991</v>
      </c>
      <c r="O33" s="157"/>
      <c r="P33" s="155"/>
      <c r="Q33" s="155"/>
      <c r="R33" s="155"/>
      <c r="S33" s="156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</row>
    <row r="34" spans="1:30" x14ac:dyDescent="0.25">
      <c r="A34" s="141"/>
      <c r="B34" s="139" t="s">
        <v>171</v>
      </c>
      <c r="C34" s="139" t="s">
        <v>161</v>
      </c>
      <c r="D34" s="139" t="s">
        <v>160</v>
      </c>
      <c r="E34" s="140">
        <v>66762.199999999983</v>
      </c>
      <c r="H34" s="141"/>
      <c r="I34" s="139" t="s">
        <v>171</v>
      </c>
      <c r="J34" s="139" t="s">
        <v>161</v>
      </c>
      <c r="K34" s="139" t="s">
        <v>160</v>
      </c>
      <c r="L34" s="142">
        <v>62850.77</v>
      </c>
      <c r="O34" s="157"/>
      <c r="P34" s="155"/>
      <c r="Q34" s="155"/>
      <c r="R34" s="155"/>
      <c r="S34" s="156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</row>
    <row r="35" spans="1:30" x14ac:dyDescent="0.25">
      <c r="A35" s="141"/>
      <c r="B35" s="139" t="s">
        <v>170</v>
      </c>
      <c r="C35" s="139" t="s">
        <v>161</v>
      </c>
      <c r="D35" s="139" t="s">
        <v>160</v>
      </c>
      <c r="E35" s="140">
        <v>62224.790000000008</v>
      </c>
      <c r="H35" s="141"/>
      <c r="I35" s="139" t="s">
        <v>170</v>
      </c>
      <c r="J35" s="139" t="s">
        <v>161</v>
      </c>
      <c r="K35" s="139" t="s">
        <v>160</v>
      </c>
      <c r="L35" s="142">
        <v>62850.569999999992</v>
      </c>
      <c r="O35" s="157"/>
      <c r="P35" s="155"/>
      <c r="Q35" s="155"/>
      <c r="R35" s="155"/>
      <c r="S35" s="156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</row>
    <row r="36" spans="1:30" s="130" customFormat="1" ht="13.5" thickBot="1" x14ac:dyDescent="0.3">
      <c r="A36" s="131" t="s">
        <v>180</v>
      </c>
      <c r="B36" s="131"/>
      <c r="C36" s="131"/>
      <c r="D36" s="131"/>
      <c r="E36" s="136">
        <v>769598.46177731955</v>
      </c>
      <c r="H36" s="131" t="s">
        <v>180</v>
      </c>
      <c r="I36" s="131"/>
      <c r="J36" s="131"/>
      <c r="K36" s="131"/>
      <c r="L36" s="136">
        <v>780174.46999999986</v>
      </c>
      <c r="O36" s="158"/>
      <c r="P36" s="158"/>
      <c r="Q36" s="158"/>
      <c r="R36" s="158"/>
      <c r="S36" s="147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</row>
    <row r="37" spans="1:30" ht="15.75" thickTop="1" x14ac:dyDescent="0.25">
      <c r="A37" s="141">
        <v>2017</v>
      </c>
      <c r="B37" s="139" t="s">
        <v>168</v>
      </c>
      <c r="C37" s="139" t="s">
        <v>161</v>
      </c>
      <c r="D37" s="139" t="s">
        <v>160</v>
      </c>
      <c r="E37" s="140">
        <v>63712.430000000008</v>
      </c>
      <c r="H37" s="141">
        <v>2017</v>
      </c>
      <c r="I37" s="139" t="s">
        <v>168</v>
      </c>
      <c r="J37" s="139" t="s">
        <v>161</v>
      </c>
      <c r="K37" s="139" t="s">
        <v>160</v>
      </c>
      <c r="L37" s="142">
        <v>62899.279999999992</v>
      </c>
      <c r="O37" s="157"/>
      <c r="P37" s="155"/>
      <c r="Q37" s="155"/>
      <c r="R37" s="155"/>
      <c r="S37" s="156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</row>
    <row r="38" spans="1:30" x14ac:dyDescent="0.25">
      <c r="A38" s="141"/>
      <c r="B38" s="139" t="s">
        <v>167</v>
      </c>
      <c r="C38" s="139" t="s">
        <v>161</v>
      </c>
      <c r="D38" s="139" t="s">
        <v>160</v>
      </c>
      <c r="E38" s="140">
        <v>63802.930000000008</v>
      </c>
      <c r="H38" s="141"/>
      <c r="I38" s="139" t="s">
        <v>167</v>
      </c>
      <c r="J38" s="139" t="s">
        <v>161</v>
      </c>
      <c r="K38" s="139" t="s">
        <v>160</v>
      </c>
      <c r="L38" s="142">
        <v>62899.28</v>
      </c>
      <c r="O38" s="157"/>
      <c r="P38" s="155"/>
      <c r="Q38" s="155"/>
      <c r="R38" s="155"/>
      <c r="S38" s="156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</row>
    <row r="39" spans="1:30" x14ac:dyDescent="0.25">
      <c r="A39" s="141"/>
      <c r="B39" s="139" t="s">
        <v>166</v>
      </c>
      <c r="C39" s="139" t="s">
        <v>161</v>
      </c>
      <c r="D39" s="139" t="s">
        <v>160</v>
      </c>
      <c r="E39" s="140">
        <v>65261.69000000001</v>
      </c>
      <c r="H39" s="141"/>
      <c r="I39" s="139" t="s">
        <v>166</v>
      </c>
      <c r="J39" s="139" t="s">
        <v>161</v>
      </c>
      <c r="K39" s="139" t="s">
        <v>160</v>
      </c>
      <c r="L39" s="142">
        <v>62899.24</v>
      </c>
      <c r="O39" s="157"/>
      <c r="P39" s="155"/>
      <c r="Q39" s="155"/>
      <c r="R39" s="155"/>
      <c r="S39" s="156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</row>
    <row r="40" spans="1:30" x14ac:dyDescent="0.25">
      <c r="A40" s="141"/>
      <c r="B40" s="139" t="s">
        <v>165</v>
      </c>
      <c r="C40" s="139" t="s">
        <v>161</v>
      </c>
      <c r="D40" s="139" t="s">
        <v>160</v>
      </c>
      <c r="E40" s="140">
        <v>64254.19</v>
      </c>
      <c r="H40" s="141"/>
      <c r="I40" s="139" t="s">
        <v>165</v>
      </c>
      <c r="J40" s="139" t="s">
        <v>161</v>
      </c>
      <c r="K40" s="139" t="s">
        <v>160</v>
      </c>
      <c r="L40" s="142">
        <v>62958.94000000001</v>
      </c>
      <c r="O40" s="157"/>
      <c r="P40" s="155"/>
      <c r="Q40" s="155"/>
      <c r="R40" s="155"/>
      <c r="S40" s="156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</row>
    <row r="41" spans="1:30" x14ac:dyDescent="0.25">
      <c r="A41" s="141"/>
      <c r="B41" s="139" t="s">
        <v>164</v>
      </c>
      <c r="C41" s="139" t="s">
        <v>161</v>
      </c>
      <c r="D41" s="139" t="s">
        <v>160</v>
      </c>
      <c r="E41" s="140">
        <v>66024.83</v>
      </c>
      <c r="H41" s="141"/>
      <c r="I41" s="139" t="s">
        <v>164</v>
      </c>
      <c r="J41" s="139" t="s">
        <v>161</v>
      </c>
      <c r="K41" s="139" t="s">
        <v>160</v>
      </c>
      <c r="L41" s="142">
        <v>62958.93</v>
      </c>
      <c r="O41" s="157"/>
      <c r="P41" s="155"/>
      <c r="Q41" s="155"/>
      <c r="R41" s="155"/>
      <c r="S41" s="156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</row>
    <row r="42" spans="1:30" x14ac:dyDescent="0.25">
      <c r="A42" s="141"/>
      <c r="B42" s="139" t="s">
        <v>163</v>
      </c>
      <c r="C42" s="139" t="s">
        <v>161</v>
      </c>
      <c r="D42" s="139" t="s">
        <v>160</v>
      </c>
      <c r="E42" s="140">
        <v>63552.930000000015</v>
      </c>
      <c r="H42" s="141"/>
      <c r="I42" s="139" t="s">
        <v>163</v>
      </c>
      <c r="J42" s="139" t="s">
        <v>161</v>
      </c>
      <c r="K42" s="139" t="s">
        <v>160</v>
      </c>
      <c r="L42" s="142">
        <v>62958.979999999996</v>
      </c>
      <c r="O42" s="157"/>
      <c r="P42" s="155"/>
      <c r="Q42" s="155"/>
      <c r="R42" s="155"/>
      <c r="S42" s="156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</row>
    <row r="43" spans="1:30" x14ac:dyDescent="0.25">
      <c r="A43" s="141"/>
      <c r="B43" s="139" t="s">
        <v>162</v>
      </c>
      <c r="C43" s="139" t="s">
        <v>161</v>
      </c>
      <c r="D43" s="139" t="s">
        <v>160</v>
      </c>
      <c r="E43" s="140">
        <v>70362.249999999985</v>
      </c>
      <c r="H43" s="141"/>
      <c r="I43" s="139" t="s">
        <v>162</v>
      </c>
      <c r="J43" s="139" t="s">
        <v>161</v>
      </c>
      <c r="K43" s="139" t="s">
        <v>160</v>
      </c>
      <c r="L43" s="142">
        <v>64163.699999999939</v>
      </c>
      <c r="O43" s="157"/>
      <c r="P43" s="155"/>
      <c r="Q43" s="155"/>
      <c r="R43" s="155"/>
      <c r="S43" s="156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</row>
    <row r="44" spans="1:30" x14ac:dyDescent="0.25">
      <c r="A44" s="141"/>
      <c r="B44" s="139" t="s">
        <v>174</v>
      </c>
      <c r="C44" s="139" t="s">
        <v>161</v>
      </c>
      <c r="D44" s="139" t="s">
        <v>160</v>
      </c>
      <c r="E44" s="140">
        <v>75283.039999999994</v>
      </c>
      <c r="H44" s="141"/>
      <c r="I44" s="139" t="s">
        <v>174</v>
      </c>
      <c r="J44" s="139" t="s">
        <v>161</v>
      </c>
      <c r="K44" s="139" t="s">
        <v>160</v>
      </c>
      <c r="L44" s="142">
        <v>64163.990000000005</v>
      </c>
      <c r="O44" s="157"/>
      <c r="P44" s="155"/>
      <c r="Q44" s="155"/>
      <c r="R44" s="155"/>
      <c r="S44" s="156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</row>
    <row r="45" spans="1:30" x14ac:dyDescent="0.25">
      <c r="A45" s="141"/>
      <c r="B45" s="139" t="s">
        <v>173</v>
      </c>
      <c r="C45" s="139" t="s">
        <v>161</v>
      </c>
      <c r="D45" s="139" t="s">
        <v>160</v>
      </c>
      <c r="E45" s="140">
        <v>76008.329999999987</v>
      </c>
      <c r="H45" s="141"/>
      <c r="I45" s="139" t="s">
        <v>173</v>
      </c>
      <c r="J45" s="139" t="s">
        <v>161</v>
      </c>
      <c r="K45" s="139" t="s">
        <v>160</v>
      </c>
      <c r="L45" s="142">
        <v>64163.93</v>
      </c>
      <c r="O45" s="157"/>
      <c r="P45" s="155"/>
      <c r="Q45" s="155"/>
      <c r="R45" s="155"/>
      <c r="S45" s="156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</row>
    <row r="46" spans="1:30" x14ac:dyDescent="0.25">
      <c r="A46" s="141"/>
      <c r="B46" s="139" t="s">
        <v>172</v>
      </c>
      <c r="C46" s="139" t="s">
        <v>161</v>
      </c>
      <c r="D46" s="139" t="s">
        <v>160</v>
      </c>
      <c r="E46" s="140">
        <v>68962.76999999999</v>
      </c>
      <c r="H46" s="141"/>
      <c r="I46" s="139" t="s">
        <v>172</v>
      </c>
      <c r="J46" s="139" t="s">
        <v>161</v>
      </c>
      <c r="K46" s="139" t="s">
        <v>160</v>
      </c>
      <c r="L46" s="142">
        <v>64237.67</v>
      </c>
      <c r="O46" s="157"/>
      <c r="P46" s="155"/>
      <c r="Q46" s="155"/>
      <c r="R46" s="155"/>
      <c r="S46" s="156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</row>
    <row r="47" spans="1:30" x14ac:dyDescent="0.25">
      <c r="A47" s="141"/>
      <c r="B47" s="139" t="s">
        <v>171</v>
      </c>
      <c r="C47" s="139" t="s">
        <v>161</v>
      </c>
      <c r="D47" s="139" t="s">
        <v>160</v>
      </c>
      <c r="E47" s="140">
        <v>68666.78</v>
      </c>
      <c r="H47" s="141"/>
      <c r="I47" s="139" t="s">
        <v>171</v>
      </c>
      <c r="J47" s="139" t="s">
        <v>161</v>
      </c>
      <c r="K47" s="139" t="s">
        <v>160</v>
      </c>
      <c r="L47" s="142">
        <v>64237.630000000005</v>
      </c>
      <c r="O47" s="157"/>
      <c r="P47" s="155"/>
      <c r="Q47" s="155"/>
      <c r="R47" s="155"/>
      <c r="S47" s="156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</row>
    <row r="48" spans="1:30" x14ac:dyDescent="0.25">
      <c r="A48" s="141"/>
      <c r="B48" s="139" t="s">
        <v>170</v>
      </c>
      <c r="C48" s="139" t="s">
        <v>161</v>
      </c>
      <c r="D48" s="139" t="s">
        <v>160</v>
      </c>
      <c r="E48" s="140">
        <v>67012.64461992</v>
      </c>
      <c r="H48" s="141"/>
      <c r="I48" s="139" t="s">
        <v>170</v>
      </c>
      <c r="J48" s="139" t="s">
        <v>161</v>
      </c>
      <c r="K48" s="139" t="s">
        <v>160</v>
      </c>
      <c r="L48" s="142">
        <v>64237.61</v>
      </c>
      <c r="O48" s="157"/>
      <c r="P48" s="155"/>
      <c r="Q48" s="155"/>
      <c r="R48" s="155"/>
      <c r="S48" s="156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</row>
    <row r="49" spans="1:30" s="130" customFormat="1" ht="13.5" thickBot="1" x14ac:dyDescent="0.3">
      <c r="A49" s="131" t="s">
        <v>179</v>
      </c>
      <c r="B49" s="131"/>
      <c r="C49" s="131"/>
      <c r="D49" s="131"/>
      <c r="E49" s="136">
        <v>812904.81461991998</v>
      </c>
      <c r="H49" s="131" t="s">
        <v>179</v>
      </c>
      <c r="I49" s="131"/>
      <c r="J49" s="131"/>
      <c r="K49" s="131"/>
      <c r="L49" s="136">
        <v>762779.17999999993</v>
      </c>
      <c r="O49" s="158"/>
      <c r="P49" s="158"/>
      <c r="Q49" s="158"/>
      <c r="R49" s="158"/>
      <c r="S49" s="147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</row>
    <row r="50" spans="1:30" ht="15.75" thickTop="1" x14ac:dyDescent="0.25">
      <c r="A50" s="141">
        <v>2018</v>
      </c>
      <c r="B50" s="139" t="s">
        <v>168</v>
      </c>
      <c r="C50" s="139" t="s">
        <v>161</v>
      </c>
      <c r="D50" s="139" t="s">
        <v>160</v>
      </c>
      <c r="E50" s="140">
        <v>72589.50999999998</v>
      </c>
      <c r="H50" s="141">
        <v>2018</v>
      </c>
      <c r="I50" s="139" t="s">
        <v>168</v>
      </c>
      <c r="J50" s="139" t="s">
        <v>161</v>
      </c>
      <c r="K50" s="139" t="s">
        <v>160</v>
      </c>
      <c r="L50" s="142">
        <v>64280.26</v>
      </c>
      <c r="O50" s="157"/>
      <c r="P50" s="155"/>
      <c r="Q50" s="155"/>
      <c r="R50" s="155"/>
      <c r="S50" s="156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</row>
    <row r="51" spans="1:30" x14ac:dyDescent="0.25">
      <c r="A51" s="141"/>
      <c r="B51" s="139" t="s">
        <v>167</v>
      </c>
      <c r="C51" s="139" t="s">
        <v>161</v>
      </c>
      <c r="D51" s="139" t="s">
        <v>160</v>
      </c>
      <c r="E51" s="140">
        <v>65530.979999999989</v>
      </c>
      <c r="H51" s="141"/>
      <c r="I51" s="139" t="s">
        <v>167</v>
      </c>
      <c r="J51" s="139" t="s">
        <v>161</v>
      </c>
      <c r="K51" s="139" t="s">
        <v>160</v>
      </c>
      <c r="L51" s="142">
        <v>64280.68</v>
      </c>
      <c r="O51" s="157"/>
      <c r="P51" s="155"/>
      <c r="Q51" s="155"/>
      <c r="R51" s="155"/>
      <c r="S51" s="156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</row>
    <row r="52" spans="1:30" x14ac:dyDescent="0.25">
      <c r="A52" s="141"/>
      <c r="B52" s="139" t="s">
        <v>166</v>
      </c>
      <c r="C52" s="139" t="s">
        <v>161</v>
      </c>
      <c r="D52" s="139" t="s">
        <v>160</v>
      </c>
      <c r="E52" s="140">
        <v>69471.98</v>
      </c>
      <c r="H52" s="141"/>
      <c r="I52" s="139" t="s">
        <v>166</v>
      </c>
      <c r="J52" s="139" t="s">
        <v>161</v>
      </c>
      <c r="K52" s="139" t="s">
        <v>160</v>
      </c>
      <c r="L52" s="142">
        <v>64280.68</v>
      </c>
      <c r="O52" s="157"/>
      <c r="P52" s="155"/>
      <c r="Q52" s="155"/>
      <c r="R52" s="155"/>
      <c r="S52" s="156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</row>
    <row r="53" spans="1:30" x14ac:dyDescent="0.25">
      <c r="A53" s="141"/>
      <c r="B53" s="139" t="s">
        <v>165</v>
      </c>
      <c r="C53" s="139" t="s">
        <v>161</v>
      </c>
      <c r="D53" s="139" t="s">
        <v>160</v>
      </c>
      <c r="E53" s="140">
        <v>69682.329999999987</v>
      </c>
      <c r="H53" s="141"/>
      <c r="I53" s="139" t="s">
        <v>165</v>
      </c>
      <c r="J53" s="139" t="s">
        <v>161</v>
      </c>
      <c r="K53" s="139" t="s">
        <v>160</v>
      </c>
      <c r="L53" s="142">
        <v>64307.369999999995</v>
      </c>
      <c r="O53" s="157"/>
      <c r="P53" s="155"/>
      <c r="Q53" s="155"/>
      <c r="R53" s="155"/>
      <c r="S53" s="156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</row>
    <row r="54" spans="1:30" x14ac:dyDescent="0.25">
      <c r="A54" s="141"/>
      <c r="B54" s="139" t="s">
        <v>164</v>
      </c>
      <c r="C54" s="139" t="s">
        <v>161</v>
      </c>
      <c r="D54" s="139" t="s">
        <v>160</v>
      </c>
      <c r="E54" s="140">
        <v>66443.600000000006</v>
      </c>
      <c r="H54" s="141"/>
      <c r="I54" s="139" t="s">
        <v>164</v>
      </c>
      <c r="J54" s="139" t="s">
        <v>161</v>
      </c>
      <c r="K54" s="139" t="s">
        <v>160</v>
      </c>
      <c r="L54" s="142">
        <v>64307.45</v>
      </c>
      <c r="O54" s="157"/>
      <c r="P54" s="155"/>
      <c r="Q54" s="155"/>
      <c r="R54" s="155"/>
      <c r="S54" s="156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</row>
    <row r="55" spans="1:30" x14ac:dyDescent="0.25">
      <c r="A55" s="141"/>
      <c r="B55" s="139" t="s">
        <v>163</v>
      </c>
      <c r="C55" s="139" t="s">
        <v>161</v>
      </c>
      <c r="D55" s="139" t="s">
        <v>160</v>
      </c>
      <c r="E55" s="140">
        <v>67303.3</v>
      </c>
      <c r="H55" s="141"/>
      <c r="I55" s="139" t="s">
        <v>163</v>
      </c>
      <c r="J55" s="139" t="s">
        <v>161</v>
      </c>
      <c r="K55" s="139" t="s">
        <v>160</v>
      </c>
      <c r="L55" s="142">
        <v>64307.45</v>
      </c>
      <c r="O55" s="157"/>
      <c r="P55" s="155"/>
      <c r="Q55" s="155"/>
      <c r="R55" s="155"/>
      <c r="S55" s="156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</row>
    <row r="56" spans="1:30" x14ac:dyDescent="0.25">
      <c r="A56" s="141"/>
      <c r="B56" s="139" t="s">
        <v>162</v>
      </c>
      <c r="C56" s="139" t="s">
        <v>161</v>
      </c>
      <c r="D56" s="139" t="s">
        <v>160</v>
      </c>
      <c r="E56" s="140">
        <v>62713.759999999995</v>
      </c>
      <c r="H56" s="141"/>
      <c r="I56" s="139" t="s">
        <v>162</v>
      </c>
      <c r="J56" s="139" t="s">
        <v>161</v>
      </c>
      <c r="K56" s="139" t="s">
        <v>160</v>
      </c>
      <c r="L56" s="142">
        <v>55678.059999999852</v>
      </c>
      <c r="O56" s="157"/>
      <c r="P56" s="155"/>
      <c r="Q56" s="155"/>
      <c r="R56" s="155"/>
      <c r="S56" s="156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</row>
    <row r="57" spans="1:30" x14ac:dyDescent="0.25">
      <c r="A57" s="141"/>
      <c r="B57" s="139" t="s">
        <v>174</v>
      </c>
      <c r="C57" s="139" t="s">
        <v>161</v>
      </c>
      <c r="D57" s="139" t="s">
        <v>160</v>
      </c>
      <c r="E57" s="140">
        <v>57758.060000000005</v>
      </c>
      <c r="H57" s="141"/>
      <c r="I57" s="139" t="s">
        <v>174</v>
      </c>
      <c r="J57" s="139" t="s">
        <v>161</v>
      </c>
      <c r="K57" s="139" t="s">
        <v>160</v>
      </c>
      <c r="L57" s="142">
        <v>55678.06</v>
      </c>
      <c r="O57" s="157"/>
      <c r="P57" s="155"/>
      <c r="Q57" s="155"/>
      <c r="R57" s="155"/>
      <c r="S57" s="156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</row>
    <row r="58" spans="1:30" x14ac:dyDescent="0.25">
      <c r="A58" s="141"/>
      <c r="B58" s="139" t="s">
        <v>173</v>
      </c>
      <c r="C58" s="139" t="s">
        <v>161</v>
      </c>
      <c r="D58" s="139" t="s">
        <v>160</v>
      </c>
      <c r="E58" s="140">
        <v>59150.610000000008</v>
      </c>
      <c r="H58" s="141"/>
      <c r="I58" s="139" t="s">
        <v>173</v>
      </c>
      <c r="J58" s="139" t="s">
        <v>161</v>
      </c>
      <c r="K58" s="139" t="s">
        <v>160</v>
      </c>
      <c r="L58" s="142">
        <v>55678.06</v>
      </c>
      <c r="O58" s="157"/>
      <c r="P58" s="155"/>
      <c r="Q58" s="155"/>
      <c r="R58" s="155"/>
      <c r="S58" s="156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</row>
    <row r="59" spans="1:30" x14ac:dyDescent="0.25">
      <c r="A59" s="141"/>
      <c r="B59" s="139" t="s">
        <v>172</v>
      </c>
      <c r="C59" s="139" t="s">
        <v>161</v>
      </c>
      <c r="D59" s="139" t="s">
        <v>160</v>
      </c>
      <c r="E59" s="140">
        <v>61212.03</v>
      </c>
      <c r="H59" s="141"/>
      <c r="I59" s="139" t="s">
        <v>172</v>
      </c>
      <c r="J59" s="139" t="s">
        <v>161</v>
      </c>
      <c r="K59" s="139" t="s">
        <v>160</v>
      </c>
      <c r="L59" s="142">
        <v>55693.380000000005</v>
      </c>
      <c r="O59" s="157"/>
      <c r="P59" s="155"/>
      <c r="Q59" s="155"/>
      <c r="R59" s="155"/>
      <c r="S59" s="156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</row>
    <row r="60" spans="1:30" x14ac:dyDescent="0.25">
      <c r="A60" s="141"/>
      <c r="B60" s="139" t="s">
        <v>171</v>
      </c>
      <c r="C60" s="139" t="s">
        <v>161</v>
      </c>
      <c r="D60" s="139" t="s">
        <v>160</v>
      </c>
      <c r="E60" s="140">
        <v>58129.890000000007</v>
      </c>
      <c r="H60" s="141"/>
      <c r="I60" s="139" t="s">
        <v>171</v>
      </c>
      <c r="J60" s="139" t="s">
        <v>161</v>
      </c>
      <c r="K60" s="139" t="s">
        <v>160</v>
      </c>
      <c r="L60" s="142">
        <v>55693.39</v>
      </c>
      <c r="O60" s="157"/>
      <c r="P60" s="155"/>
      <c r="Q60" s="155"/>
      <c r="R60" s="155"/>
      <c r="S60" s="156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</row>
    <row r="61" spans="1:30" x14ac:dyDescent="0.25">
      <c r="A61" s="141"/>
      <c r="B61" s="139" t="s">
        <v>170</v>
      </c>
      <c r="C61" s="139" t="s">
        <v>161</v>
      </c>
      <c r="D61" s="139" t="s">
        <v>160</v>
      </c>
      <c r="E61" s="140">
        <v>62341.849999999991</v>
      </c>
      <c r="H61" s="141"/>
      <c r="I61" s="139" t="s">
        <v>170</v>
      </c>
      <c r="J61" s="139" t="s">
        <v>161</v>
      </c>
      <c r="K61" s="139" t="s">
        <v>160</v>
      </c>
      <c r="L61" s="142">
        <v>55693.35</v>
      </c>
      <c r="O61" s="157"/>
      <c r="P61" s="155"/>
      <c r="Q61" s="155"/>
      <c r="R61" s="155"/>
      <c r="S61" s="156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</row>
    <row r="62" spans="1:30" s="130" customFormat="1" ht="13.5" thickBot="1" x14ac:dyDescent="0.3">
      <c r="A62" s="131" t="s">
        <v>178</v>
      </c>
      <c r="B62" s="131"/>
      <c r="C62" s="131"/>
      <c r="D62" s="131"/>
      <c r="E62" s="136">
        <v>772327.89999999991</v>
      </c>
      <c r="H62" s="131" t="s">
        <v>178</v>
      </c>
      <c r="I62" s="131"/>
      <c r="J62" s="131"/>
      <c r="K62" s="131"/>
      <c r="L62" s="136">
        <v>719878.18999999983</v>
      </c>
      <c r="O62" s="158"/>
      <c r="P62" s="158"/>
      <c r="Q62" s="158"/>
      <c r="R62" s="158"/>
      <c r="S62" s="147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</row>
    <row r="63" spans="1:30" ht="15.75" thickTop="1" x14ac:dyDescent="0.25">
      <c r="A63" s="141">
        <v>2019</v>
      </c>
      <c r="B63" s="139" t="s">
        <v>168</v>
      </c>
      <c r="C63" s="139" t="s">
        <v>161</v>
      </c>
      <c r="D63" s="139" t="s">
        <v>160</v>
      </c>
      <c r="E63" s="140">
        <v>54613.419999999991</v>
      </c>
      <c r="H63" s="141">
        <v>2019</v>
      </c>
      <c r="I63" s="139" t="s">
        <v>168</v>
      </c>
      <c r="J63" s="139" t="s">
        <v>161</v>
      </c>
      <c r="K63" s="139" t="s">
        <v>160</v>
      </c>
      <c r="L63" s="142">
        <v>50707.42</v>
      </c>
      <c r="O63" s="157"/>
      <c r="P63" s="155"/>
      <c r="Q63" s="155"/>
      <c r="R63" s="155"/>
      <c r="S63" s="156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</row>
    <row r="64" spans="1:30" x14ac:dyDescent="0.25">
      <c r="A64" s="141"/>
      <c r="B64" s="139" t="s">
        <v>167</v>
      </c>
      <c r="C64" s="139" t="s">
        <v>161</v>
      </c>
      <c r="D64" s="139" t="s">
        <v>160</v>
      </c>
      <c r="E64" s="140">
        <v>59063.591685220003</v>
      </c>
      <c r="H64" s="141"/>
      <c r="I64" s="139" t="s">
        <v>167</v>
      </c>
      <c r="J64" s="139" t="s">
        <v>161</v>
      </c>
      <c r="K64" s="139" t="s">
        <v>160</v>
      </c>
      <c r="L64" s="142">
        <v>55789.01</v>
      </c>
      <c r="O64" s="157"/>
      <c r="P64" s="155"/>
      <c r="Q64" s="155"/>
      <c r="R64" s="155"/>
      <c r="S64" s="156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</row>
    <row r="65" spans="1:30" x14ac:dyDescent="0.25">
      <c r="A65" s="141"/>
      <c r="B65" s="139" t="s">
        <v>166</v>
      </c>
      <c r="C65" s="139" t="s">
        <v>161</v>
      </c>
      <c r="D65" s="139" t="s">
        <v>160</v>
      </c>
      <c r="E65" s="140">
        <v>60919.72</v>
      </c>
      <c r="H65" s="141"/>
      <c r="I65" s="139" t="s">
        <v>166</v>
      </c>
      <c r="J65" s="139" t="s">
        <v>161</v>
      </c>
      <c r="K65" s="139" t="s">
        <v>160</v>
      </c>
      <c r="L65" s="142">
        <v>55789.01</v>
      </c>
      <c r="O65" s="157"/>
      <c r="P65" s="155"/>
      <c r="Q65" s="155"/>
      <c r="R65" s="155"/>
      <c r="S65" s="156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</row>
    <row r="66" spans="1:30" x14ac:dyDescent="0.25">
      <c r="A66" s="141"/>
      <c r="B66" s="139" t="s">
        <v>165</v>
      </c>
      <c r="C66" s="139" t="s">
        <v>161</v>
      </c>
      <c r="D66" s="139" t="s">
        <v>160</v>
      </c>
      <c r="E66" s="140">
        <v>62839.039999999994</v>
      </c>
      <c r="H66" s="141"/>
      <c r="I66" s="139" t="s">
        <v>165</v>
      </c>
      <c r="J66" s="139" t="s">
        <v>161</v>
      </c>
      <c r="K66" s="139" t="s">
        <v>160</v>
      </c>
      <c r="L66" s="142">
        <v>55884.749999999993</v>
      </c>
      <c r="O66" s="157"/>
      <c r="P66" s="155"/>
      <c r="Q66" s="155"/>
      <c r="R66" s="155"/>
      <c r="S66" s="156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</row>
    <row r="67" spans="1:30" x14ac:dyDescent="0.25">
      <c r="A67" s="141"/>
      <c r="B67" s="139" t="s">
        <v>164</v>
      </c>
      <c r="C67" s="139" t="s">
        <v>161</v>
      </c>
      <c r="D67" s="139" t="s">
        <v>160</v>
      </c>
      <c r="E67" s="140">
        <v>58755.97</v>
      </c>
      <c r="H67" s="141"/>
      <c r="I67" s="139" t="s">
        <v>164</v>
      </c>
      <c r="J67" s="139" t="s">
        <v>161</v>
      </c>
      <c r="K67" s="139" t="s">
        <v>160</v>
      </c>
      <c r="L67" s="142">
        <v>55884.71</v>
      </c>
      <c r="O67" s="157"/>
      <c r="P67" s="155"/>
      <c r="Q67" s="155"/>
      <c r="R67" s="155"/>
      <c r="S67" s="156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</row>
    <row r="68" spans="1:30" x14ac:dyDescent="0.25">
      <c r="A68" s="141"/>
      <c r="B68" s="139" t="s">
        <v>163</v>
      </c>
      <c r="C68" s="139" t="s">
        <v>161</v>
      </c>
      <c r="D68" s="139" t="s">
        <v>160</v>
      </c>
      <c r="E68" s="140">
        <v>60237.56</v>
      </c>
      <c r="H68" s="141"/>
      <c r="I68" s="139" t="s">
        <v>163</v>
      </c>
      <c r="J68" s="139" t="s">
        <v>161</v>
      </c>
      <c r="K68" s="139" t="s">
        <v>160</v>
      </c>
      <c r="L68" s="142">
        <v>55884.2</v>
      </c>
      <c r="O68" s="157"/>
      <c r="P68" s="155"/>
      <c r="Q68" s="155"/>
      <c r="R68" s="155"/>
      <c r="S68" s="156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</row>
    <row r="69" spans="1:30" x14ac:dyDescent="0.25">
      <c r="A69" s="141"/>
      <c r="B69" s="139" t="s">
        <v>162</v>
      </c>
      <c r="C69" s="139" t="s">
        <v>161</v>
      </c>
      <c r="D69" s="139" t="s">
        <v>160</v>
      </c>
      <c r="E69" s="140">
        <v>59646.540000000183</v>
      </c>
      <c r="H69" s="141"/>
      <c r="I69" s="139" t="s">
        <v>162</v>
      </c>
      <c r="J69" s="139" t="s">
        <v>161</v>
      </c>
      <c r="K69" s="139" t="s">
        <v>160</v>
      </c>
      <c r="L69" s="142">
        <v>58175.350000000057</v>
      </c>
      <c r="O69" s="157"/>
      <c r="P69" s="155"/>
      <c r="Q69" s="155"/>
      <c r="R69" s="155"/>
      <c r="S69" s="156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</row>
    <row r="70" spans="1:30" x14ac:dyDescent="0.25">
      <c r="A70" s="141"/>
      <c r="B70" s="139" t="s">
        <v>174</v>
      </c>
      <c r="C70" s="139" t="s">
        <v>161</v>
      </c>
      <c r="D70" s="139" t="s">
        <v>160</v>
      </c>
      <c r="E70" s="140">
        <v>59282.099999999969</v>
      </c>
      <c r="H70" s="141"/>
      <c r="I70" s="139" t="s">
        <v>174</v>
      </c>
      <c r="J70" s="139" t="s">
        <v>161</v>
      </c>
      <c r="K70" s="139" t="s">
        <v>160</v>
      </c>
      <c r="L70" s="142">
        <v>58175.35</v>
      </c>
      <c r="O70" s="157"/>
      <c r="P70" s="155"/>
      <c r="Q70" s="155"/>
      <c r="R70" s="155"/>
      <c r="S70" s="156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</row>
    <row r="71" spans="1:30" x14ac:dyDescent="0.25">
      <c r="A71" s="141"/>
      <c r="B71" s="139" t="s">
        <v>173</v>
      </c>
      <c r="C71" s="139" t="s">
        <v>161</v>
      </c>
      <c r="D71" s="139" t="s">
        <v>160</v>
      </c>
      <c r="E71" s="140">
        <v>66600.419999999969</v>
      </c>
      <c r="H71" s="141"/>
      <c r="I71" s="139" t="s">
        <v>173</v>
      </c>
      <c r="J71" s="139" t="s">
        <v>161</v>
      </c>
      <c r="K71" s="139" t="s">
        <v>160</v>
      </c>
      <c r="L71" s="142">
        <v>58158.909999999996</v>
      </c>
      <c r="O71" s="157"/>
      <c r="P71" s="155"/>
      <c r="Q71" s="155"/>
      <c r="R71" s="155"/>
      <c r="S71" s="156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</row>
    <row r="72" spans="1:30" x14ac:dyDescent="0.25">
      <c r="A72" s="141"/>
      <c r="B72" s="139" t="s">
        <v>172</v>
      </c>
      <c r="C72" s="139" t="s">
        <v>161</v>
      </c>
      <c r="D72" s="139" t="s">
        <v>160</v>
      </c>
      <c r="E72" s="140">
        <v>65980.98000000001</v>
      </c>
      <c r="H72" s="141"/>
      <c r="I72" s="139" t="s">
        <v>172</v>
      </c>
      <c r="J72" s="139" t="s">
        <v>161</v>
      </c>
      <c r="K72" s="139" t="s">
        <v>160</v>
      </c>
      <c r="L72" s="142">
        <v>58218.750000000007</v>
      </c>
      <c r="O72" s="157"/>
      <c r="P72" s="155"/>
      <c r="Q72" s="155"/>
      <c r="R72" s="155"/>
      <c r="S72" s="156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</row>
    <row r="73" spans="1:30" x14ac:dyDescent="0.25">
      <c r="A73" s="141"/>
      <c r="B73" s="139" t="s">
        <v>171</v>
      </c>
      <c r="C73" s="139" t="s">
        <v>161</v>
      </c>
      <c r="D73" s="139" t="s">
        <v>160</v>
      </c>
      <c r="E73" s="140">
        <v>66307.989999999991</v>
      </c>
      <c r="H73" s="141"/>
      <c r="I73" s="139" t="s">
        <v>171</v>
      </c>
      <c r="J73" s="139" t="s">
        <v>161</v>
      </c>
      <c r="K73" s="139" t="s">
        <v>160</v>
      </c>
      <c r="L73" s="142">
        <v>58218.75</v>
      </c>
      <c r="O73" s="157"/>
      <c r="P73" s="155"/>
      <c r="Q73" s="155"/>
      <c r="R73" s="155"/>
      <c r="S73" s="156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</row>
    <row r="74" spans="1:30" x14ac:dyDescent="0.25">
      <c r="A74" s="141"/>
      <c r="B74" s="139" t="s">
        <v>170</v>
      </c>
      <c r="C74" s="139" t="s">
        <v>161</v>
      </c>
      <c r="D74" s="139" t="s">
        <v>160</v>
      </c>
      <c r="E74" s="140">
        <v>65938.149999999994</v>
      </c>
      <c r="H74" s="141"/>
      <c r="I74" s="139" t="s">
        <v>170</v>
      </c>
      <c r="J74" s="139" t="s">
        <v>161</v>
      </c>
      <c r="K74" s="139" t="s">
        <v>160</v>
      </c>
      <c r="L74" s="142">
        <v>58218.75</v>
      </c>
      <c r="O74" s="157"/>
      <c r="P74" s="155"/>
      <c r="Q74" s="155"/>
      <c r="R74" s="155"/>
      <c r="S74" s="156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</row>
    <row r="75" spans="1:30" s="130" customFormat="1" ht="13.5" thickBot="1" x14ac:dyDescent="0.3">
      <c r="A75" s="131" t="s">
        <v>177</v>
      </c>
      <c r="B75" s="131"/>
      <c r="C75" s="131"/>
      <c r="D75" s="131"/>
      <c r="E75" s="136">
        <v>740185.48168522015</v>
      </c>
      <c r="H75" s="131" t="s">
        <v>177</v>
      </c>
      <c r="I75" s="131"/>
      <c r="J75" s="131"/>
      <c r="K75" s="131"/>
      <c r="L75" s="136">
        <v>679104.96000000008</v>
      </c>
      <c r="O75" s="158"/>
      <c r="P75" s="158"/>
      <c r="Q75" s="158"/>
      <c r="R75" s="158"/>
      <c r="S75" s="147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</row>
    <row r="76" spans="1:30" ht="15.75" thickTop="1" x14ac:dyDescent="0.25">
      <c r="A76" s="141">
        <v>2020</v>
      </c>
      <c r="B76" s="139" t="s">
        <v>168</v>
      </c>
      <c r="C76" s="139" t="s">
        <v>161</v>
      </c>
      <c r="D76" s="139" t="s">
        <v>160</v>
      </c>
      <c r="E76" s="140">
        <v>65143.380000000019</v>
      </c>
      <c r="H76" s="141">
        <v>2020</v>
      </c>
      <c r="I76" s="139" t="s">
        <v>168</v>
      </c>
      <c r="J76" s="139" t="s">
        <v>161</v>
      </c>
      <c r="K76" s="139" t="s">
        <v>160</v>
      </c>
      <c r="L76" s="142">
        <v>58165.700000000004</v>
      </c>
      <c r="O76" s="157"/>
      <c r="P76" s="155"/>
      <c r="Q76" s="155"/>
      <c r="R76" s="155"/>
      <c r="S76" s="156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</row>
    <row r="77" spans="1:30" x14ac:dyDescent="0.25">
      <c r="A77" s="141"/>
      <c r="B77" s="139" t="s">
        <v>167</v>
      </c>
      <c r="C77" s="139" t="s">
        <v>161</v>
      </c>
      <c r="D77" s="139" t="s">
        <v>160</v>
      </c>
      <c r="E77" s="140">
        <v>75956.17</v>
      </c>
      <c r="H77" s="141"/>
      <c r="I77" s="139" t="s">
        <v>167</v>
      </c>
      <c r="J77" s="139" t="s">
        <v>161</v>
      </c>
      <c r="K77" s="139" t="s">
        <v>160</v>
      </c>
      <c r="L77" s="142">
        <v>58165.68</v>
      </c>
      <c r="O77" s="157"/>
      <c r="P77" s="155"/>
      <c r="Q77" s="155"/>
      <c r="R77" s="155"/>
      <c r="S77" s="156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</row>
    <row r="78" spans="1:30" x14ac:dyDescent="0.25">
      <c r="A78" s="141"/>
      <c r="B78" s="139" t="s">
        <v>166</v>
      </c>
      <c r="C78" s="139" t="s">
        <v>161</v>
      </c>
      <c r="D78" s="139" t="s">
        <v>160</v>
      </c>
      <c r="E78" s="140">
        <v>75942.150000000009</v>
      </c>
      <c r="H78" s="141"/>
      <c r="I78" s="139" t="s">
        <v>166</v>
      </c>
      <c r="J78" s="139" t="s">
        <v>161</v>
      </c>
      <c r="K78" s="139" t="s">
        <v>160</v>
      </c>
      <c r="L78" s="142">
        <v>58165.64</v>
      </c>
      <c r="O78" s="157"/>
      <c r="P78" s="155"/>
      <c r="Q78" s="155"/>
      <c r="R78" s="155"/>
      <c r="S78" s="156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</row>
    <row r="79" spans="1:30" x14ac:dyDescent="0.25">
      <c r="A79" s="141"/>
      <c r="B79" s="139" t="s">
        <v>165</v>
      </c>
      <c r="C79" s="139" t="s">
        <v>161</v>
      </c>
      <c r="D79" s="139" t="s">
        <v>160</v>
      </c>
      <c r="E79" s="140">
        <v>64136.43</v>
      </c>
      <c r="H79" s="141"/>
      <c r="I79" s="139" t="s">
        <v>165</v>
      </c>
      <c r="J79" s="139" t="s">
        <v>161</v>
      </c>
      <c r="K79" s="139" t="s">
        <v>160</v>
      </c>
      <c r="L79" s="142">
        <v>58161.32</v>
      </c>
      <c r="O79" s="157"/>
      <c r="P79" s="155"/>
      <c r="Q79" s="155"/>
      <c r="R79" s="155"/>
      <c r="S79" s="156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</row>
    <row r="80" spans="1:30" x14ac:dyDescent="0.25">
      <c r="A80" s="141"/>
      <c r="B80" s="139" t="s">
        <v>164</v>
      </c>
      <c r="C80" s="139" t="s">
        <v>161</v>
      </c>
      <c r="D80" s="139" t="s">
        <v>160</v>
      </c>
      <c r="E80" s="140">
        <v>64044.049999999996</v>
      </c>
      <c r="H80" s="141"/>
      <c r="I80" s="139" t="s">
        <v>164</v>
      </c>
      <c r="J80" s="139" t="s">
        <v>161</v>
      </c>
      <c r="K80" s="139" t="s">
        <v>160</v>
      </c>
      <c r="L80" s="142">
        <v>58161.32</v>
      </c>
      <c r="O80" s="157"/>
      <c r="P80" s="155"/>
      <c r="Q80" s="155"/>
      <c r="R80" s="155"/>
      <c r="S80" s="156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</row>
    <row r="81" spans="1:30" x14ac:dyDescent="0.25">
      <c r="A81" s="141"/>
      <c r="B81" s="139" t="s">
        <v>163</v>
      </c>
      <c r="C81" s="139" t="s">
        <v>161</v>
      </c>
      <c r="D81" s="139" t="s">
        <v>160</v>
      </c>
      <c r="E81" s="140">
        <v>71895.06</v>
      </c>
      <c r="H81" s="141"/>
      <c r="I81" s="139" t="s">
        <v>163</v>
      </c>
      <c r="J81" s="139" t="s">
        <v>161</v>
      </c>
      <c r="K81" s="139" t="s">
        <v>160</v>
      </c>
      <c r="L81" s="142">
        <v>58161.140000000007</v>
      </c>
      <c r="O81" s="157"/>
      <c r="P81" s="155"/>
      <c r="Q81" s="155"/>
      <c r="R81" s="155"/>
      <c r="S81" s="156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</row>
    <row r="82" spans="1:30" x14ac:dyDescent="0.25">
      <c r="A82" s="141"/>
      <c r="B82" s="139" t="s">
        <v>162</v>
      </c>
      <c r="C82" s="139" t="s">
        <v>161</v>
      </c>
      <c r="D82" s="139" t="s">
        <v>160</v>
      </c>
      <c r="E82" s="140">
        <v>69378.690000000075</v>
      </c>
      <c r="H82" s="141"/>
      <c r="I82" s="139" t="s">
        <v>162</v>
      </c>
      <c r="J82" s="139" t="s">
        <v>161</v>
      </c>
      <c r="K82" s="139" t="s">
        <v>160</v>
      </c>
      <c r="L82" s="142">
        <v>57503.710000000086</v>
      </c>
      <c r="O82" s="157"/>
      <c r="P82" s="155"/>
      <c r="Q82" s="155"/>
      <c r="R82" s="155"/>
      <c r="S82" s="156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</row>
    <row r="83" spans="1:30" x14ac:dyDescent="0.25">
      <c r="A83" s="141"/>
      <c r="B83" s="139" t="s">
        <v>174</v>
      </c>
      <c r="C83" s="139" t="s">
        <v>161</v>
      </c>
      <c r="D83" s="139" t="s">
        <v>160</v>
      </c>
      <c r="E83" s="140">
        <v>72201.67</v>
      </c>
      <c r="H83" s="141"/>
      <c r="I83" s="139" t="s">
        <v>174</v>
      </c>
      <c r="J83" s="139" t="s">
        <v>161</v>
      </c>
      <c r="K83" s="139" t="s">
        <v>160</v>
      </c>
      <c r="L83" s="142">
        <v>57503.710000000006</v>
      </c>
      <c r="O83" s="157"/>
      <c r="P83" s="155"/>
      <c r="Q83" s="155"/>
      <c r="R83" s="155"/>
      <c r="S83" s="156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</row>
    <row r="84" spans="1:30" x14ac:dyDescent="0.25">
      <c r="A84" s="141"/>
      <c r="B84" s="139" t="s">
        <v>173</v>
      </c>
      <c r="C84" s="139" t="s">
        <v>161</v>
      </c>
      <c r="D84" s="139" t="s">
        <v>160</v>
      </c>
      <c r="E84" s="140">
        <v>89830.529999999984</v>
      </c>
      <c r="H84" s="141"/>
      <c r="I84" s="139" t="s">
        <v>173</v>
      </c>
      <c r="J84" s="139" t="s">
        <v>161</v>
      </c>
      <c r="K84" s="139" t="s">
        <v>160</v>
      </c>
      <c r="L84" s="142">
        <v>57503.670000000006</v>
      </c>
      <c r="O84" s="157"/>
      <c r="P84" s="155"/>
      <c r="Q84" s="155"/>
      <c r="R84" s="155"/>
      <c r="S84" s="156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</row>
    <row r="85" spans="1:30" x14ac:dyDescent="0.25">
      <c r="A85" s="141"/>
      <c r="B85" s="139" t="s">
        <v>172</v>
      </c>
      <c r="C85" s="139" t="s">
        <v>161</v>
      </c>
      <c r="D85" s="139" t="s">
        <v>160</v>
      </c>
      <c r="E85" s="140">
        <v>76268.720000000045</v>
      </c>
      <c r="H85" s="141"/>
      <c r="I85" s="139" t="s">
        <v>172</v>
      </c>
      <c r="J85" s="139" t="s">
        <v>161</v>
      </c>
      <c r="K85" s="139" t="s">
        <v>160</v>
      </c>
      <c r="L85" s="142">
        <v>57532.26</v>
      </c>
      <c r="O85" s="157"/>
      <c r="P85" s="155"/>
      <c r="Q85" s="155"/>
      <c r="R85" s="155"/>
      <c r="S85" s="156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5"/>
    </row>
    <row r="86" spans="1:30" x14ac:dyDescent="0.25">
      <c r="A86" s="141"/>
      <c r="B86" s="139" t="s">
        <v>171</v>
      </c>
      <c r="C86" s="139" t="s">
        <v>161</v>
      </c>
      <c r="D86" s="139" t="s">
        <v>160</v>
      </c>
      <c r="E86" s="140">
        <v>66098.7</v>
      </c>
      <c r="H86" s="141"/>
      <c r="I86" s="139" t="s">
        <v>171</v>
      </c>
      <c r="J86" s="139" t="s">
        <v>161</v>
      </c>
      <c r="K86" s="139" t="s">
        <v>160</v>
      </c>
      <c r="L86" s="142">
        <v>57532.26</v>
      </c>
      <c r="O86" s="157"/>
      <c r="P86" s="155"/>
      <c r="Q86" s="155"/>
      <c r="R86" s="155"/>
      <c r="S86" s="156"/>
      <c r="T86" s="155"/>
      <c r="U86" s="155"/>
      <c r="V86" s="155"/>
      <c r="W86" s="155"/>
      <c r="X86" s="155"/>
      <c r="Y86" s="155"/>
      <c r="Z86" s="155"/>
      <c r="AA86" s="155"/>
      <c r="AB86" s="155"/>
      <c r="AC86" s="155"/>
      <c r="AD86" s="155"/>
    </row>
    <row r="87" spans="1:30" x14ac:dyDescent="0.25">
      <c r="A87" s="141"/>
      <c r="B87" s="139" t="s">
        <v>170</v>
      </c>
      <c r="C87" s="139" t="s">
        <v>161</v>
      </c>
      <c r="D87" s="139" t="s">
        <v>160</v>
      </c>
      <c r="E87" s="140">
        <v>63467.32</v>
      </c>
      <c r="H87" s="141"/>
      <c r="I87" s="139" t="s">
        <v>170</v>
      </c>
      <c r="J87" s="139" t="s">
        <v>161</v>
      </c>
      <c r="K87" s="139" t="s">
        <v>160</v>
      </c>
      <c r="L87" s="142">
        <v>57531.63</v>
      </c>
      <c r="O87" s="157"/>
      <c r="P87" s="155"/>
      <c r="Q87" s="155"/>
      <c r="R87" s="155"/>
      <c r="S87" s="156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</row>
    <row r="88" spans="1:30" s="130" customFormat="1" ht="13.5" thickBot="1" x14ac:dyDescent="0.3">
      <c r="A88" s="131" t="s">
        <v>176</v>
      </c>
      <c r="B88" s="131"/>
      <c r="C88" s="131"/>
      <c r="D88" s="131"/>
      <c r="E88" s="136">
        <v>854362.87000000011</v>
      </c>
      <c r="H88" s="131" t="s">
        <v>176</v>
      </c>
      <c r="I88" s="131"/>
      <c r="J88" s="131"/>
      <c r="K88" s="131"/>
      <c r="L88" s="136">
        <v>694088.04000000015</v>
      </c>
      <c r="O88" s="158"/>
      <c r="P88" s="158"/>
      <c r="Q88" s="158"/>
      <c r="R88" s="158"/>
      <c r="S88" s="147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</row>
    <row r="89" spans="1:30" ht="15.75" thickTop="1" x14ac:dyDescent="0.25">
      <c r="A89" s="141">
        <v>2021</v>
      </c>
      <c r="B89" s="139" t="s">
        <v>168</v>
      </c>
      <c r="C89" s="139" t="s">
        <v>161</v>
      </c>
      <c r="D89" s="139" t="s">
        <v>160</v>
      </c>
      <c r="E89" s="140">
        <v>78127.203342459994</v>
      </c>
      <c r="H89" s="141">
        <v>2021</v>
      </c>
      <c r="I89" s="139" t="s">
        <v>168</v>
      </c>
      <c r="J89" s="139" t="s">
        <v>161</v>
      </c>
      <c r="K89" s="139" t="s">
        <v>160</v>
      </c>
      <c r="L89" s="142">
        <v>57536.19</v>
      </c>
      <c r="O89" s="157"/>
      <c r="P89" s="155"/>
      <c r="Q89" s="155"/>
      <c r="R89" s="155"/>
      <c r="S89" s="156"/>
      <c r="T89" s="155"/>
      <c r="U89" s="155"/>
      <c r="V89" s="155"/>
      <c r="W89" s="155"/>
      <c r="X89" s="155"/>
      <c r="Y89" s="155"/>
      <c r="Z89" s="155"/>
      <c r="AA89" s="155"/>
      <c r="AB89" s="155"/>
      <c r="AC89" s="155"/>
      <c r="AD89" s="155"/>
    </row>
    <row r="90" spans="1:30" x14ac:dyDescent="0.25">
      <c r="A90" s="141"/>
      <c r="B90" s="139" t="s">
        <v>167</v>
      </c>
      <c r="C90" s="139" t="s">
        <v>161</v>
      </c>
      <c r="D90" s="139" t="s">
        <v>160</v>
      </c>
      <c r="E90" s="140">
        <v>81680.529999999984</v>
      </c>
      <c r="H90" s="141"/>
      <c r="I90" s="139" t="s">
        <v>167</v>
      </c>
      <c r="J90" s="139" t="s">
        <v>161</v>
      </c>
      <c r="K90" s="139" t="s">
        <v>160</v>
      </c>
      <c r="L90" s="142">
        <v>57536.189999999995</v>
      </c>
      <c r="O90" s="157"/>
      <c r="P90" s="155"/>
      <c r="Q90" s="155"/>
      <c r="R90" s="155"/>
      <c r="S90" s="156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</row>
    <row r="91" spans="1:30" x14ac:dyDescent="0.25">
      <c r="A91" s="141"/>
      <c r="B91" s="139" t="s">
        <v>166</v>
      </c>
      <c r="C91" s="139" t="s">
        <v>161</v>
      </c>
      <c r="D91" s="139" t="s">
        <v>160</v>
      </c>
      <c r="E91" s="140">
        <v>69232.5</v>
      </c>
      <c r="H91" s="141"/>
      <c r="I91" s="139" t="s">
        <v>166</v>
      </c>
      <c r="J91" s="139" t="s">
        <v>161</v>
      </c>
      <c r="K91" s="139" t="s">
        <v>160</v>
      </c>
      <c r="L91" s="142">
        <v>57536.159999999996</v>
      </c>
      <c r="O91" s="157"/>
      <c r="P91" s="155"/>
      <c r="Q91" s="155"/>
      <c r="R91" s="155"/>
      <c r="S91" s="156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</row>
    <row r="92" spans="1:30" x14ac:dyDescent="0.25">
      <c r="A92" s="141"/>
      <c r="B92" s="139" t="s">
        <v>165</v>
      </c>
      <c r="C92" s="139" t="s">
        <v>161</v>
      </c>
      <c r="D92" s="139" t="s">
        <v>160</v>
      </c>
      <c r="E92" s="140">
        <v>72893.409999999989</v>
      </c>
      <c r="H92" s="141"/>
      <c r="I92" s="139" t="s">
        <v>165</v>
      </c>
      <c r="J92" s="139" t="s">
        <v>161</v>
      </c>
      <c r="K92" s="139" t="s">
        <v>160</v>
      </c>
      <c r="L92" s="142">
        <v>57700.149999999994</v>
      </c>
      <c r="O92" s="157"/>
      <c r="P92" s="155"/>
      <c r="Q92" s="155"/>
      <c r="R92" s="155"/>
      <c r="S92" s="156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</row>
    <row r="93" spans="1:30" x14ac:dyDescent="0.25">
      <c r="A93" s="141"/>
      <c r="B93" s="139" t="s">
        <v>164</v>
      </c>
      <c r="C93" s="139" t="s">
        <v>161</v>
      </c>
      <c r="D93" s="139" t="s">
        <v>160</v>
      </c>
      <c r="E93" s="140">
        <v>81680.13</v>
      </c>
      <c r="H93" s="141"/>
      <c r="I93" s="139" t="s">
        <v>164</v>
      </c>
      <c r="J93" s="139" t="s">
        <v>161</v>
      </c>
      <c r="K93" s="139" t="s">
        <v>160</v>
      </c>
      <c r="L93" s="142">
        <v>57700.149999999994</v>
      </c>
      <c r="O93" s="157"/>
      <c r="P93" s="155"/>
      <c r="Q93" s="155"/>
      <c r="R93" s="155"/>
      <c r="S93" s="156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</row>
    <row r="94" spans="1:30" x14ac:dyDescent="0.25">
      <c r="A94" s="141"/>
      <c r="B94" s="139" t="s">
        <v>163</v>
      </c>
      <c r="C94" s="139" t="s">
        <v>161</v>
      </c>
      <c r="D94" s="139" t="s">
        <v>160</v>
      </c>
      <c r="E94" s="140">
        <v>72413.138446119992</v>
      </c>
      <c r="H94" s="141"/>
      <c r="I94" s="139" t="s">
        <v>163</v>
      </c>
      <c r="J94" s="139" t="s">
        <v>161</v>
      </c>
      <c r="K94" s="139" t="s">
        <v>160</v>
      </c>
      <c r="L94" s="142">
        <v>57699.729999999996</v>
      </c>
      <c r="O94" s="157"/>
      <c r="P94" s="155"/>
      <c r="Q94" s="155"/>
      <c r="R94" s="155"/>
      <c r="S94" s="156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</row>
    <row r="95" spans="1:30" x14ac:dyDescent="0.25">
      <c r="A95" s="141"/>
      <c r="B95" s="139" t="s">
        <v>162</v>
      </c>
      <c r="C95" s="139" t="s">
        <v>161</v>
      </c>
      <c r="D95" s="139" t="s">
        <v>160</v>
      </c>
      <c r="E95" s="140">
        <v>69293.368533980232</v>
      </c>
      <c r="H95" s="141"/>
      <c r="I95" s="139" t="s">
        <v>162</v>
      </c>
      <c r="J95" s="139" t="s">
        <v>161</v>
      </c>
      <c r="K95" s="139" t="s">
        <v>160</v>
      </c>
      <c r="L95" s="142">
        <v>58640.140000000159</v>
      </c>
      <c r="O95" s="157"/>
      <c r="P95" s="155"/>
      <c r="Q95" s="155"/>
      <c r="R95" s="155"/>
      <c r="S95" s="156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</row>
    <row r="96" spans="1:30" x14ac:dyDescent="0.25">
      <c r="A96" s="141"/>
      <c r="B96" s="139" t="s">
        <v>174</v>
      </c>
      <c r="C96" s="139" t="s">
        <v>161</v>
      </c>
      <c r="D96" s="139" t="s">
        <v>160</v>
      </c>
      <c r="E96" s="140">
        <v>62711.380249999995</v>
      </c>
      <c r="H96" s="141"/>
      <c r="I96" s="139" t="s">
        <v>174</v>
      </c>
      <c r="J96" s="139" t="s">
        <v>161</v>
      </c>
      <c r="K96" s="139" t="s">
        <v>160</v>
      </c>
      <c r="L96" s="142">
        <v>58640.14</v>
      </c>
      <c r="O96" s="157"/>
      <c r="P96" s="155"/>
      <c r="Q96" s="155"/>
      <c r="R96" s="155"/>
      <c r="S96" s="156"/>
      <c r="T96" s="155"/>
      <c r="U96" s="155"/>
      <c r="V96" s="155"/>
      <c r="W96" s="155"/>
      <c r="X96" s="155"/>
      <c r="Y96" s="155"/>
      <c r="Z96" s="155"/>
      <c r="AA96" s="155"/>
      <c r="AB96" s="155"/>
      <c r="AC96" s="155"/>
      <c r="AD96" s="155"/>
    </row>
    <row r="97" spans="1:30" x14ac:dyDescent="0.25">
      <c r="A97" s="141"/>
      <c r="B97" s="139" t="s">
        <v>173</v>
      </c>
      <c r="C97" s="139" t="s">
        <v>161</v>
      </c>
      <c r="D97" s="139" t="s">
        <v>160</v>
      </c>
      <c r="E97" s="140">
        <v>96915.77</v>
      </c>
      <c r="H97" s="141"/>
      <c r="I97" s="139" t="s">
        <v>173</v>
      </c>
      <c r="J97" s="139" t="s">
        <v>161</v>
      </c>
      <c r="K97" s="139" t="s">
        <v>160</v>
      </c>
      <c r="L97" s="142">
        <v>58640.12</v>
      </c>
      <c r="O97" s="157"/>
      <c r="P97" s="155"/>
      <c r="Q97" s="155"/>
      <c r="R97" s="155"/>
      <c r="S97" s="156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</row>
    <row r="98" spans="1:30" x14ac:dyDescent="0.25">
      <c r="A98" s="141"/>
      <c r="B98" s="139" t="s">
        <v>172</v>
      </c>
      <c r="C98" s="139" t="s">
        <v>161</v>
      </c>
      <c r="D98" s="139" t="s">
        <v>160</v>
      </c>
      <c r="E98" s="140">
        <v>70984.12</v>
      </c>
      <c r="H98" s="141"/>
      <c r="I98" s="139" t="s">
        <v>172</v>
      </c>
      <c r="J98" s="139" t="s">
        <v>161</v>
      </c>
      <c r="K98" s="139" t="s">
        <v>160</v>
      </c>
      <c r="L98" s="142">
        <v>58916.180000000008</v>
      </c>
      <c r="O98" s="157"/>
      <c r="P98" s="155"/>
      <c r="Q98" s="155"/>
      <c r="R98" s="155"/>
      <c r="S98" s="156"/>
      <c r="T98" s="155"/>
      <c r="U98" s="155"/>
      <c r="V98" s="155"/>
      <c r="W98" s="155"/>
      <c r="X98" s="155"/>
      <c r="Y98" s="155"/>
      <c r="Z98" s="155"/>
      <c r="AA98" s="155"/>
      <c r="AB98" s="155"/>
      <c r="AC98" s="155"/>
      <c r="AD98" s="155"/>
    </row>
    <row r="99" spans="1:30" x14ac:dyDescent="0.25">
      <c r="A99" s="141"/>
      <c r="B99" s="139" t="s">
        <v>171</v>
      </c>
      <c r="C99" s="139" t="s">
        <v>161</v>
      </c>
      <c r="D99" s="139" t="s">
        <v>160</v>
      </c>
      <c r="E99" s="140">
        <v>114903.44</v>
      </c>
      <c r="H99" s="141"/>
      <c r="I99" s="139" t="s">
        <v>171</v>
      </c>
      <c r="J99" s="139" t="s">
        <v>161</v>
      </c>
      <c r="K99" s="139" t="s">
        <v>160</v>
      </c>
      <c r="L99" s="142">
        <v>58916.18</v>
      </c>
      <c r="O99" s="157"/>
      <c r="P99" s="155"/>
      <c r="Q99" s="155"/>
      <c r="R99" s="155"/>
      <c r="S99" s="156"/>
      <c r="T99" s="155"/>
      <c r="U99" s="155"/>
      <c r="V99" s="155"/>
      <c r="W99" s="155"/>
      <c r="X99" s="155"/>
      <c r="Y99" s="155"/>
      <c r="Z99" s="155"/>
      <c r="AA99" s="155"/>
      <c r="AB99" s="155"/>
      <c r="AC99" s="155"/>
      <c r="AD99" s="155"/>
    </row>
    <row r="100" spans="1:30" x14ac:dyDescent="0.25">
      <c r="A100" s="141"/>
      <c r="B100" s="139" t="s">
        <v>170</v>
      </c>
      <c r="C100" s="139" t="s">
        <v>161</v>
      </c>
      <c r="D100" s="139" t="s">
        <v>160</v>
      </c>
      <c r="E100" s="140">
        <v>61827.680761600001</v>
      </c>
      <c r="H100" s="141"/>
      <c r="I100" s="139" t="s">
        <v>170</v>
      </c>
      <c r="J100" s="139" t="s">
        <v>161</v>
      </c>
      <c r="K100" s="139" t="s">
        <v>160</v>
      </c>
      <c r="L100" s="142">
        <v>58915.74</v>
      </c>
      <c r="O100" s="157"/>
      <c r="P100" s="155"/>
      <c r="Q100" s="155"/>
      <c r="R100" s="155"/>
      <c r="S100" s="156"/>
      <c r="T100" s="155"/>
      <c r="U100" s="155"/>
      <c r="V100" s="155"/>
      <c r="W100" s="155"/>
      <c r="X100" s="155"/>
      <c r="Y100" s="155"/>
      <c r="Z100" s="155"/>
      <c r="AA100" s="155"/>
      <c r="AB100" s="155"/>
      <c r="AC100" s="155"/>
      <c r="AD100" s="155"/>
    </row>
    <row r="101" spans="1:30" s="130" customFormat="1" ht="13.5" thickBot="1" x14ac:dyDescent="0.3">
      <c r="A101" s="131" t="s">
        <v>175</v>
      </c>
      <c r="B101" s="131"/>
      <c r="C101" s="131"/>
      <c r="D101" s="131"/>
      <c r="E101" s="136">
        <v>932662.67133416038</v>
      </c>
      <c r="H101" s="131" t="s">
        <v>175</v>
      </c>
      <c r="I101" s="131"/>
      <c r="J101" s="131"/>
      <c r="K101" s="131"/>
      <c r="L101" s="136">
        <v>698377.07000000018</v>
      </c>
      <c r="O101" s="158"/>
      <c r="P101" s="158"/>
      <c r="Q101" s="158"/>
      <c r="R101" s="158"/>
      <c r="S101" s="147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</row>
    <row r="102" spans="1:30" ht="15.75" thickTop="1" x14ac:dyDescent="0.25">
      <c r="A102" s="141">
        <v>2022</v>
      </c>
      <c r="B102" s="139" t="s">
        <v>168</v>
      </c>
      <c r="C102" s="139" t="s">
        <v>161</v>
      </c>
      <c r="D102" s="139" t="s">
        <v>160</v>
      </c>
      <c r="E102" s="140">
        <v>80009.319999999992</v>
      </c>
      <c r="H102" s="141">
        <v>2022</v>
      </c>
      <c r="I102" s="139" t="s">
        <v>168</v>
      </c>
      <c r="J102" s="139" t="s">
        <v>161</v>
      </c>
      <c r="K102" s="139" t="s">
        <v>160</v>
      </c>
      <c r="L102" s="142">
        <v>59117.120000000017</v>
      </c>
      <c r="O102" s="157"/>
      <c r="P102" s="155"/>
      <c r="Q102" s="155"/>
      <c r="R102" s="155"/>
      <c r="S102" s="156"/>
      <c r="T102" s="155"/>
      <c r="U102" s="155"/>
      <c r="V102" s="155"/>
      <c r="W102" s="155"/>
      <c r="X102" s="155"/>
      <c r="Y102" s="155"/>
      <c r="Z102" s="155"/>
      <c r="AA102" s="155"/>
      <c r="AB102" s="155"/>
      <c r="AC102" s="155"/>
      <c r="AD102" s="155"/>
    </row>
    <row r="103" spans="1:30" x14ac:dyDescent="0.25">
      <c r="A103" s="141"/>
      <c r="B103" s="139" t="s">
        <v>167</v>
      </c>
      <c r="C103" s="139" t="s">
        <v>161</v>
      </c>
      <c r="D103" s="139" t="s">
        <v>160</v>
      </c>
      <c r="E103" s="140">
        <v>71904.704306600004</v>
      </c>
      <c r="H103" s="141"/>
      <c r="I103" s="139" t="s">
        <v>167</v>
      </c>
      <c r="J103" s="139" t="s">
        <v>161</v>
      </c>
      <c r="K103" s="139" t="s">
        <v>160</v>
      </c>
      <c r="L103" s="142">
        <v>59117.119999999995</v>
      </c>
      <c r="O103" s="157"/>
      <c r="P103" s="155"/>
      <c r="Q103" s="155"/>
      <c r="R103" s="155"/>
      <c r="S103" s="156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5"/>
    </row>
    <row r="104" spans="1:30" x14ac:dyDescent="0.25">
      <c r="A104" s="141"/>
      <c r="B104" s="139" t="s">
        <v>166</v>
      </c>
      <c r="C104" s="139" t="s">
        <v>161</v>
      </c>
      <c r="D104" s="139" t="s">
        <v>160</v>
      </c>
      <c r="E104" s="140">
        <v>70159.16</v>
      </c>
      <c r="H104" s="141"/>
      <c r="I104" s="139" t="s">
        <v>166</v>
      </c>
      <c r="J104" s="139" t="s">
        <v>161</v>
      </c>
      <c r="K104" s="139" t="s">
        <v>160</v>
      </c>
      <c r="L104" s="142">
        <v>59117.1</v>
      </c>
      <c r="O104" s="157"/>
      <c r="P104" s="155"/>
      <c r="Q104" s="155"/>
      <c r="R104" s="155"/>
      <c r="S104" s="156"/>
      <c r="T104" s="155"/>
      <c r="U104" s="155"/>
      <c r="V104" s="155"/>
      <c r="W104" s="155"/>
      <c r="X104" s="155"/>
      <c r="Y104" s="155"/>
      <c r="Z104" s="155"/>
      <c r="AA104" s="155"/>
      <c r="AB104" s="155"/>
      <c r="AC104" s="155"/>
      <c r="AD104" s="155"/>
    </row>
    <row r="105" spans="1:30" x14ac:dyDescent="0.25">
      <c r="A105" s="141"/>
      <c r="B105" s="139" t="s">
        <v>165</v>
      </c>
      <c r="C105" s="139" t="s">
        <v>161</v>
      </c>
      <c r="D105" s="139" t="s">
        <v>160</v>
      </c>
      <c r="E105" s="140">
        <v>70372.989999999962</v>
      </c>
      <c r="H105" s="141"/>
      <c r="I105" s="139" t="s">
        <v>165</v>
      </c>
      <c r="J105" s="139" t="s">
        <v>161</v>
      </c>
      <c r="K105" s="139" t="s">
        <v>160</v>
      </c>
      <c r="L105" s="142">
        <v>57989.569999999992</v>
      </c>
      <c r="O105" s="157"/>
      <c r="P105" s="155"/>
      <c r="Q105" s="155"/>
      <c r="R105" s="155"/>
      <c r="S105" s="156"/>
      <c r="T105" s="155"/>
      <c r="U105" s="155"/>
      <c r="V105" s="155"/>
      <c r="W105" s="155"/>
      <c r="X105" s="155"/>
      <c r="Y105" s="155"/>
      <c r="Z105" s="155"/>
      <c r="AA105" s="155"/>
      <c r="AB105" s="155"/>
      <c r="AC105" s="155"/>
      <c r="AD105" s="155"/>
    </row>
    <row r="106" spans="1:30" x14ac:dyDescent="0.25">
      <c r="A106" s="141"/>
      <c r="B106" s="139" t="s">
        <v>164</v>
      </c>
      <c r="C106" s="139" t="s">
        <v>161</v>
      </c>
      <c r="D106" s="139" t="s">
        <v>160</v>
      </c>
      <c r="E106" s="140">
        <v>62445.837823180002</v>
      </c>
      <c r="H106" s="141"/>
      <c r="I106" s="139" t="s">
        <v>164</v>
      </c>
      <c r="J106" s="139" t="s">
        <v>161</v>
      </c>
      <c r="K106" s="139" t="s">
        <v>160</v>
      </c>
      <c r="L106" s="142">
        <v>57989.57</v>
      </c>
      <c r="O106" s="157"/>
      <c r="P106" s="155"/>
      <c r="Q106" s="155"/>
      <c r="R106" s="155"/>
      <c r="S106" s="156"/>
      <c r="T106" s="155"/>
      <c r="U106" s="155"/>
      <c r="V106" s="155"/>
      <c r="W106" s="155"/>
      <c r="X106" s="155"/>
      <c r="Y106" s="155"/>
      <c r="Z106" s="155"/>
      <c r="AA106" s="155"/>
      <c r="AB106" s="155"/>
      <c r="AC106" s="155"/>
      <c r="AD106" s="155"/>
    </row>
    <row r="107" spans="1:30" x14ac:dyDescent="0.25">
      <c r="A107" s="141"/>
      <c r="B107" s="139" t="s">
        <v>163</v>
      </c>
      <c r="C107" s="139" t="s">
        <v>161</v>
      </c>
      <c r="D107" s="139" t="s">
        <v>160</v>
      </c>
      <c r="E107" s="140">
        <v>73805.710000000006</v>
      </c>
      <c r="H107" s="141"/>
      <c r="I107" s="139" t="s">
        <v>163</v>
      </c>
      <c r="J107" s="139" t="s">
        <v>161</v>
      </c>
      <c r="K107" s="139" t="s">
        <v>160</v>
      </c>
      <c r="L107" s="142">
        <v>57989.16</v>
      </c>
      <c r="O107" s="157"/>
      <c r="P107" s="155"/>
      <c r="Q107" s="155"/>
      <c r="R107" s="155"/>
      <c r="S107" s="156"/>
      <c r="T107" s="155"/>
      <c r="U107" s="155"/>
      <c r="V107" s="155"/>
      <c r="W107" s="155"/>
      <c r="X107" s="155"/>
      <c r="Y107" s="155"/>
      <c r="Z107" s="155"/>
      <c r="AA107" s="155"/>
      <c r="AB107" s="155"/>
      <c r="AC107" s="155"/>
      <c r="AD107" s="155"/>
    </row>
    <row r="108" spans="1:30" x14ac:dyDescent="0.25">
      <c r="A108" s="141"/>
      <c r="B108" s="139" t="s">
        <v>162</v>
      </c>
      <c r="C108" s="139" t="s">
        <v>161</v>
      </c>
      <c r="D108" s="139" t="s">
        <v>160</v>
      </c>
      <c r="E108" s="140">
        <v>83167.52999999962</v>
      </c>
      <c r="H108" s="141"/>
      <c r="I108" s="139" t="s">
        <v>162</v>
      </c>
      <c r="J108" s="139" t="s">
        <v>161</v>
      </c>
      <c r="K108" s="139" t="s">
        <v>160</v>
      </c>
      <c r="L108" s="142">
        <v>65233.039999999892</v>
      </c>
      <c r="O108" s="157"/>
      <c r="P108" s="155"/>
      <c r="Q108" s="155"/>
      <c r="R108" s="155"/>
      <c r="S108" s="156"/>
      <c r="T108" s="155"/>
      <c r="U108" s="155"/>
      <c r="V108" s="155"/>
      <c r="W108" s="155"/>
      <c r="X108" s="155"/>
      <c r="Y108" s="155"/>
      <c r="Z108" s="155"/>
      <c r="AA108" s="155"/>
      <c r="AB108" s="155"/>
      <c r="AC108" s="155"/>
      <c r="AD108" s="155"/>
    </row>
    <row r="109" spans="1:30" x14ac:dyDescent="0.25">
      <c r="A109" s="141"/>
      <c r="B109" s="139" t="s">
        <v>174</v>
      </c>
      <c r="C109" s="139" t="s">
        <v>161</v>
      </c>
      <c r="D109" s="139" t="s">
        <v>160</v>
      </c>
      <c r="E109" s="140">
        <v>78161.566013980017</v>
      </c>
      <c r="H109" s="141"/>
      <c r="I109" s="139" t="s">
        <v>174</v>
      </c>
      <c r="J109" s="139" t="s">
        <v>161</v>
      </c>
      <c r="K109" s="139" t="s">
        <v>160</v>
      </c>
      <c r="L109" s="142">
        <v>65233.04</v>
      </c>
      <c r="O109" s="157"/>
      <c r="P109" s="155"/>
      <c r="Q109" s="155"/>
      <c r="R109" s="155"/>
      <c r="S109" s="156"/>
      <c r="T109" s="155"/>
      <c r="U109" s="155"/>
      <c r="V109" s="155"/>
      <c r="W109" s="155"/>
      <c r="X109" s="155"/>
      <c r="Y109" s="155"/>
      <c r="Z109" s="155"/>
      <c r="AA109" s="155"/>
      <c r="AB109" s="155"/>
      <c r="AC109" s="155"/>
      <c r="AD109" s="155"/>
    </row>
    <row r="110" spans="1:30" x14ac:dyDescent="0.25">
      <c r="A110" s="141"/>
      <c r="B110" s="139" t="s">
        <v>173</v>
      </c>
      <c r="C110" s="139" t="s">
        <v>161</v>
      </c>
      <c r="D110" s="139" t="s">
        <v>160</v>
      </c>
      <c r="E110" s="140">
        <v>86541.650000000023</v>
      </c>
      <c r="H110" s="141"/>
      <c r="I110" s="139" t="s">
        <v>173</v>
      </c>
      <c r="J110" s="139" t="s">
        <v>161</v>
      </c>
      <c r="K110" s="139" t="s">
        <v>160</v>
      </c>
      <c r="L110" s="142">
        <v>65233.04</v>
      </c>
      <c r="O110" s="157"/>
      <c r="P110" s="155"/>
      <c r="Q110" s="155"/>
      <c r="R110" s="155"/>
      <c r="S110" s="156"/>
      <c r="T110" s="155"/>
      <c r="U110" s="155"/>
      <c r="V110" s="155"/>
      <c r="W110" s="155"/>
      <c r="X110" s="155"/>
      <c r="Y110" s="155"/>
      <c r="Z110" s="155"/>
      <c r="AA110" s="155"/>
      <c r="AB110" s="155"/>
      <c r="AC110" s="155"/>
      <c r="AD110" s="155"/>
    </row>
    <row r="111" spans="1:30" x14ac:dyDescent="0.25">
      <c r="A111" s="141"/>
      <c r="B111" s="139" t="s">
        <v>172</v>
      </c>
      <c r="C111" s="139" t="s">
        <v>161</v>
      </c>
      <c r="D111" s="139" t="s">
        <v>160</v>
      </c>
      <c r="E111" s="140">
        <v>100852.32189743998</v>
      </c>
      <c r="H111" s="141"/>
      <c r="I111" s="139" t="s">
        <v>172</v>
      </c>
      <c r="J111" s="139" t="s">
        <v>161</v>
      </c>
      <c r="K111" s="139" t="s">
        <v>160</v>
      </c>
      <c r="L111" s="142">
        <v>65233.039999999994</v>
      </c>
      <c r="O111" s="157"/>
      <c r="P111" s="155"/>
      <c r="Q111" s="155"/>
      <c r="R111" s="155"/>
      <c r="S111" s="156"/>
      <c r="T111" s="155"/>
      <c r="U111" s="155"/>
      <c r="V111" s="155"/>
      <c r="W111" s="155"/>
      <c r="X111" s="155"/>
      <c r="Y111" s="155"/>
      <c r="Z111" s="155"/>
      <c r="AA111" s="155"/>
      <c r="AB111" s="155"/>
      <c r="AC111" s="155"/>
      <c r="AD111" s="155"/>
    </row>
    <row r="112" spans="1:30" x14ac:dyDescent="0.25">
      <c r="A112" s="141"/>
      <c r="B112" s="139" t="s">
        <v>171</v>
      </c>
      <c r="C112" s="139" t="s">
        <v>161</v>
      </c>
      <c r="D112" s="139" t="s">
        <v>160</v>
      </c>
      <c r="E112" s="140">
        <v>98020.839999999982</v>
      </c>
      <c r="H112" s="141"/>
      <c r="I112" s="139" t="s">
        <v>171</v>
      </c>
      <c r="J112" s="139" t="s">
        <v>161</v>
      </c>
      <c r="K112" s="139" t="s">
        <v>160</v>
      </c>
      <c r="L112" s="142">
        <v>65233.04</v>
      </c>
      <c r="O112" s="157"/>
      <c r="P112" s="155"/>
      <c r="Q112" s="155"/>
      <c r="R112" s="155"/>
      <c r="S112" s="156"/>
      <c r="T112" s="155"/>
      <c r="U112" s="155"/>
      <c r="V112" s="155"/>
      <c r="W112" s="155"/>
      <c r="X112" s="150"/>
      <c r="Y112" s="150"/>
      <c r="Z112" s="150"/>
      <c r="AA112" s="150"/>
      <c r="AB112" s="150"/>
      <c r="AC112" s="155"/>
      <c r="AD112" s="155"/>
    </row>
    <row r="113" spans="1:30" x14ac:dyDescent="0.25">
      <c r="A113" s="141"/>
      <c r="B113" s="139" t="s">
        <v>170</v>
      </c>
      <c r="C113" s="139" t="s">
        <v>161</v>
      </c>
      <c r="D113" s="139" t="s">
        <v>160</v>
      </c>
      <c r="E113" s="140">
        <v>132191.26999999996</v>
      </c>
      <c r="H113" s="141"/>
      <c r="I113" s="139" t="s">
        <v>170</v>
      </c>
      <c r="J113" s="139" t="s">
        <v>161</v>
      </c>
      <c r="K113" s="139" t="s">
        <v>160</v>
      </c>
      <c r="L113" s="142">
        <v>65232.58</v>
      </c>
      <c r="O113" s="157"/>
      <c r="P113" s="155"/>
      <c r="Q113" s="155"/>
      <c r="R113" s="155"/>
      <c r="S113" s="156"/>
      <c r="T113" s="155"/>
      <c r="U113" s="155"/>
      <c r="V113" s="155"/>
      <c r="W113" s="155"/>
      <c r="X113" s="155"/>
      <c r="Y113" s="151"/>
      <c r="Z113" s="151"/>
      <c r="AA113" s="151"/>
      <c r="AB113" s="151"/>
      <c r="AC113" s="155"/>
      <c r="AD113" s="155"/>
    </row>
    <row r="114" spans="1:30" s="130" customFormat="1" ht="15.75" thickBot="1" x14ac:dyDescent="0.3">
      <c r="A114" s="131" t="s">
        <v>169</v>
      </c>
      <c r="B114" s="131"/>
      <c r="C114" s="131"/>
      <c r="D114" s="131"/>
      <c r="E114" s="136">
        <v>1007632.9000411995</v>
      </c>
      <c r="H114" s="131" t="s">
        <v>169</v>
      </c>
      <c r="I114" s="131"/>
      <c r="J114" s="131"/>
      <c r="K114" s="131"/>
      <c r="L114" s="136">
        <v>742717.41999999993</v>
      </c>
      <c r="O114" s="158"/>
      <c r="P114" s="158"/>
      <c r="Q114" s="158"/>
      <c r="R114" s="158"/>
      <c r="S114" s="147"/>
      <c r="T114" s="149"/>
      <c r="U114" s="149"/>
      <c r="V114" s="149"/>
      <c r="W114" s="149"/>
      <c r="X114" s="159"/>
      <c r="Y114" s="160"/>
      <c r="Z114" s="160"/>
      <c r="AA114" s="160"/>
      <c r="AB114" s="161"/>
      <c r="AC114" s="155"/>
      <c r="AD114" s="149"/>
    </row>
    <row r="115" spans="1:30" ht="15.75" thickTop="1" x14ac:dyDescent="0.25">
      <c r="A115" s="141">
        <v>2023</v>
      </c>
      <c r="B115" s="139" t="s">
        <v>168</v>
      </c>
      <c r="C115" s="139" t="s">
        <v>161</v>
      </c>
      <c r="D115" s="139" t="s">
        <v>160</v>
      </c>
      <c r="E115" s="140">
        <v>77038.400000000023</v>
      </c>
      <c r="F115" s="143"/>
      <c r="H115" s="141">
        <v>2023</v>
      </c>
      <c r="I115" s="139" t="s">
        <v>168</v>
      </c>
      <c r="J115" s="139" t="s">
        <v>161</v>
      </c>
      <c r="K115" s="139" t="s">
        <v>160</v>
      </c>
      <c r="L115" s="142">
        <v>62941.600000000013</v>
      </c>
      <c r="M115" s="143"/>
      <c r="O115" s="157"/>
      <c r="P115" s="155"/>
      <c r="Q115" s="155"/>
      <c r="R115" s="155"/>
      <c r="S115" s="156"/>
      <c r="T115" s="162"/>
      <c r="U115" s="155"/>
      <c r="V115" s="155"/>
      <c r="W115" s="155"/>
      <c r="X115" s="159"/>
      <c r="Y115" s="160"/>
      <c r="Z115" s="160"/>
      <c r="AA115" s="160"/>
      <c r="AB115" s="161"/>
      <c r="AC115" s="155"/>
      <c r="AD115" s="155"/>
    </row>
    <row r="116" spans="1:30" x14ac:dyDescent="0.25">
      <c r="A116" s="141"/>
      <c r="B116" s="139" t="s">
        <v>167</v>
      </c>
      <c r="C116" s="139" t="s">
        <v>161</v>
      </c>
      <c r="D116" s="139" t="s">
        <v>160</v>
      </c>
      <c r="E116" s="140">
        <v>121759.26999999999</v>
      </c>
      <c r="F116" s="143"/>
      <c r="H116" s="141"/>
      <c r="I116" s="139" t="s">
        <v>167</v>
      </c>
      <c r="J116" s="139" t="s">
        <v>161</v>
      </c>
      <c r="K116" s="139" t="s">
        <v>160</v>
      </c>
      <c r="L116" s="142">
        <v>65099.479999999996</v>
      </c>
      <c r="M116" s="143"/>
      <c r="O116" s="157"/>
      <c r="P116" s="155"/>
      <c r="Q116" s="155"/>
      <c r="R116" s="155"/>
      <c r="S116" s="156"/>
      <c r="T116" s="162"/>
      <c r="U116" s="155"/>
      <c r="V116" s="155"/>
      <c r="W116" s="155"/>
      <c r="X116" s="159"/>
      <c r="Y116" s="160"/>
      <c r="Z116" s="160"/>
      <c r="AA116" s="160"/>
      <c r="AB116" s="161"/>
      <c r="AC116" s="155"/>
      <c r="AD116" s="155"/>
    </row>
    <row r="117" spans="1:30" x14ac:dyDescent="0.25">
      <c r="A117" s="141"/>
      <c r="B117" s="139" t="s">
        <v>166</v>
      </c>
      <c r="C117" s="139" t="s">
        <v>161</v>
      </c>
      <c r="D117" s="139" t="s">
        <v>160</v>
      </c>
      <c r="E117" s="140">
        <v>150017.70999999996</v>
      </c>
      <c r="F117" s="143"/>
      <c r="H117" s="141"/>
      <c r="I117" s="139" t="s">
        <v>166</v>
      </c>
      <c r="J117" s="139" t="s">
        <v>161</v>
      </c>
      <c r="K117" s="139" t="s">
        <v>160</v>
      </c>
      <c r="L117" s="142">
        <v>65099.459999999992</v>
      </c>
      <c r="M117" s="143"/>
      <c r="O117" s="157"/>
      <c r="P117" s="155"/>
      <c r="Q117" s="155"/>
      <c r="R117" s="155"/>
      <c r="S117" s="156"/>
      <c r="T117" s="162"/>
      <c r="U117" s="155"/>
      <c r="V117" s="155"/>
      <c r="W117" s="155"/>
      <c r="X117" s="159"/>
      <c r="Y117" s="160"/>
      <c r="Z117" s="160"/>
      <c r="AA117" s="160"/>
      <c r="AB117" s="161"/>
      <c r="AC117" s="155"/>
      <c r="AD117" s="155"/>
    </row>
    <row r="118" spans="1:30" x14ac:dyDescent="0.25">
      <c r="A118" s="141"/>
      <c r="B118" s="139" t="s">
        <v>165</v>
      </c>
      <c r="C118" s="139" t="s">
        <v>161</v>
      </c>
      <c r="D118" s="139" t="s">
        <v>160</v>
      </c>
      <c r="E118" s="140">
        <v>159467.23999999982</v>
      </c>
      <c r="F118" s="143"/>
      <c r="H118" s="141"/>
      <c r="I118" s="139" t="s">
        <v>165</v>
      </c>
      <c r="J118" s="139" t="s">
        <v>161</v>
      </c>
      <c r="K118" s="139" t="s">
        <v>160</v>
      </c>
      <c r="L118" s="142">
        <v>64725.7</v>
      </c>
      <c r="M118" s="143"/>
      <c r="O118" s="157"/>
      <c r="P118" s="155"/>
      <c r="Q118" s="155"/>
      <c r="R118" s="155"/>
      <c r="S118" s="156"/>
      <c r="T118" s="162"/>
      <c r="U118" s="155"/>
      <c r="V118" s="155"/>
      <c r="W118" s="155"/>
      <c r="X118" s="159"/>
      <c r="Y118" s="160"/>
      <c r="Z118" s="160"/>
      <c r="AA118" s="160"/>
      <c r="AB118" s="161"/>
      <c r="AC118" s="155"/>
      <c r="AD118" s="155"/>
    </row>
    <row r="119" spans="1:30" x14ac:dyDescent="0.25">
      <c r="A119" s="141"/>
      <c r="B119" s="139" t="s">
        <v>164</v>
      </c>
      <c r="C119" s="139" t="s">
        <v>161</v>
      </c>
      <c r="D119" s="139" t="s">
        <v>160</v>
      </c>
      <c r="E119" s="140">
        <v>94857.430000000022</v>
      </c>
      <c r="F119" s="143"/>
      <c r="H119" s="141"/>
      <c r="I119" s="139" t="s">
        <v>164</v>
      </c>
      <c r="J119" s="139" t="s">
        <v>161</v>
      </c>
      <c r="K119" s="139" t="s">
        <v>160</v>
      </c>
      <c r="L119" s="142">
        <v>64725.7</v>
      </c>
      <c r="M119" s="143"/>
      <c r="O119" s="157"/>
      <c r="P119" s="155"/>
      <c r="Q119" s="155"/>
      <c r="R119" s="155"/>
      <c r="S119" s="156"/>
      <c r="T119" s="162"/>
      <c r="U119" s="155"/>
      <c r="V119" s="155"/>
      <c r="W119" s="155"/>
      <c r="X119" s="159"/>
      <c r="Y119" s="160"/>
      <c r="Z119" s="160"/>
      <c r="AA119" s="160"/>
      <c r="AB119" s="161"/>
      <c r="AC119" s="155"/>
      <c r="AD119" s="155"/>
    </row>
    <row r="120" spans="1:30" x14ac:dyDescent="0.25">
      <c r="A120" s="141"/>
      <c r="B120" s="139" t="s">
        <v>163</v>
      </c>
      <c r="C120" s="139" t="s">
        <v>161</v>
      </c>
      <c r="D120" s="139" t="s">
        <v>160</v>
      </c>
      <c r="E120" s="140">
        <v>77265.06</v>
      </c>
      <c r="H120" s="141"/>
      <c r="I120" s="139" t="s">
        <v>163</v>
      </c>
      <c r="J120" s="139" t="s">
        <v>161</v>
      </c>
      <c r="K120" s="139" t="s">
        <v>160</v>
      </c>
      <c r="L120" s="142">
        <v>64725.15</v>
      </c>
      <c r="O120" s="157"/>
      <c r="P120" s="155"/>
      <c r="Q120" s="155"/>
      <c r="R120" s="155"/>
      <c r="S120" s="156"/>
      <c r="T120" s="155"/>
      <c r="U120" s="155"/>
      <c r="V120" s="155"/>
      <c r="W120" s="155"/>
      <c r="X120" s="159"/>
      <c r="Y120" s="160"/>
      <c r="Z120" s="160"/>
      <c r="AA120" s="152"/>
      <c r="AB120" s="161"/>
      <c r="AC120" s="149"/>
      <c r="AD120" s="155"/>
    </row>
    <row r="121" spans="1:30" x14ac:dyDescent="0.25">
      <c r="A121" s="141"/>
      <c r="B121" s="139" t="s">
        <v>162</v>
      </c>
      <c r="C121" s="139" t="s">
        <v>161</v>
      </c>
      <c r="D121" s="139" t="s">
        <v>160</v>
      </c>
      <c r="E121" s="140">
        <v>79737.500000000364</v>
      </c>
      <c r="F121" s="143"/>
      <c r="H121" s="141"/>
      <c r="I121" s="139" t="s">
        <v>162</v>
      </c>
      <c r="J121" s="139" t="s">
        <v>161</v>
      </c>
      <c r="K121" s="139" t="s">
        <v>160</v>
      </c>
      <c r="L121" s="142">
        <v>56667.460000000188</v>
      </c>
      <c r="M121" s="143"/>
      <c r="O121" s="157"/>
      <c r="P121" s="155"/>
      <c r="Q121" s="155"/>
      <c r="R121" s="155"/>
      <c r="S121" s="156"/>
      <c r="T121" s="162"/>
      <c r="U121" s="155"/>
      <c r="V121" s="155"/>
      <c r="W121" s="155"/>
      <c r="X121" s="159"/>
      <c r="Y121" s="160"/>
      <c r="Z121" s="160"/>
      <c r="AA121" s="160"/>
      <c r="AB121" s="161"/>
      <c r="AC121" s="155"/>
      <c r="AD121" s="155"/>
    </row>
    <row r="122" spans="1:30" s="130" customFormat="1" ht="15.75" thickBot="1" x14ac:dyDescent="0.3">
      <c r="A122" s="131" t="s">
        <v>159</v>
      </c>
      <c r="B122" s="131"/>
      <c r="C122" s="131"/>
      <c r="D122" s="131"/>
      <c r="E122" s="136">
        <v>760142.61000000022</v>
      </c>
      <c r="H122" s="131" t="s">
        <v>159</v>
      </c>
      <c r="I122" s="131"/>
      <c r="J122" s="131"/>
      <c r="K122" s="131"/>
      <c r="L122" s="136">
        <v>443984.55000000022</v>
      </c>
      <c r="O122" s="158"/>
      <c r="P122" s="158"/>
      <c r="Q122" s="158"/>
      <c r="R122" s="158"/>
      <c r="S122" s="147"/>
      <c r="T122" s="149"/>
      <c r="U122" s="149"/>
      <c r="V122" s="149"/>
      <c r="W122" s="149"/>
      <c r="X122" s="159"/>
      <c r="Y122" s="160"/>
      <c r="Z122" s="160"/>
      <c r="AA122" s="160"/>
      <c r="AB122" s="161"/>
      <c r="AC122" s="155"/>
      <c r="AD122" s="149"/>
    </row>
    <row r="123" spans="1:30" ht="15.75" thickTop="1" x14ac:dyDescent="0.25">
      <c r="A123" s="141"/>
      <c r="B123" s="141"/>
      <c r="C123" s="141"/>
      <c r="H123" s="141"/>
      <c r="I123" s="141"/>
      <c r="J123" s="141"/>
      <c r="O123" s="157"/>
      <c r="P123" s="157"/>
      <c r="Q123" s="157"/>
      <c r="R123" s="155"/>
      <c r="S123" s="156"/>
      <c r="T123" s="155"/>
      <c r="U123" s="155"/>
      <c r="V123" s="155"/>
      <c r="W123" s="155"/>
      <c r="X123" s="159"/>
      <c r="Y123" s="160"/>
      <c r="Z123" s="160"/>
      <c r="AA123" s="160"/>
      <c r="AB123" s="161"/>
      <c r="AC123" s="155"/>
      <c r="AD123" s="155"/>
    </row>
    <row r="124" spans="1:30" x14ac:dyDescent="0.25">
      <c r="D124" s="141"/>
      <c r="K124" s="141"/>
      <c r="O124" s="155"/>
      <c r="P124" s="155"/>
      <c r="Q124" s="155"/>
      <c r="R124" s="157"/>
      <c r="S124" s="156"/>
      <c r="T124" s="155"/>
      <c r="U124" s="155"/>
      <c r="V124" s="155"/>
      <c r="W124" s="155"/>
      <c r="X124" s="159"/>
      <c r="Y124" s="160"/>
      <c r="Z124" s="160"/>
      <c r="AA124" s="160"/>
      <c r="AB124" s="161"/>
      <c r="AC124" s="155"/>
      <c r="AD124" s="155"/>
    </row>
    <row r="125" spans="1:30" x14ac:dyDescent="0.25">
      <c r="E125" s="140" t="s">
        <v>158</v>
      </c>
      <c r="F125" s="139" t="s">
        <v>148</v>
      </c>
      <c r="L125" s="140" t="s">
        <v>158</v>
      </c>
      <c r="M125" s="139" t="s">
        <v>148</v>
      </c>
      <c r="O125" s="155"/>
      <c r="P125" s="155"/>
      <c r="Q125" s="155"/>
      <c r="R125" s="155"/>
      <c r="S125" s="163"/>
      <c r="T125" s="155"/>
      <c r="U125" s="155"/>
      <c r="V125" s="155"/>
      <c r="W125" s="155"/>
      <c r="X125" s="159"/>
      <c r="Y125" s="160"/>
      <c r="Z125" s="160"/>
      <c r="AA125" s="160"/>
      <c r="AB125" s="161"/>
      <c r="AC125" s="155"/>
      <c r="AD125" s="155"/>
    </row>
    <row r="126" spans="1:30" ht="12.75" x14ac:dyDescent="0.25">
      <c r="D126" s="139" t="s">
        <v>157</v>
      </c>
      <c r="E126" s="144">
        <f>+SUM(E63:E68,E56:E61)</f>
        <v>717735.50168522005</v>
      </c>
      <c r="L126" s="144">
        <f>+SUM(L63:L68,L56:L61)</f>
        <v>664053.39999999991</v>
      </c>
      <c r="O126" s="155"/>
      <c r="P126" s="155"/>
      <c r="Q126" s="155"/>
      <c r="R126" s="155"/>
      <c r="S126" s="164"/>
      <c r="T126" s="155"/>
      <c r="U126" s="155"/>
      <c r="V126" s="155"/>
      <c r="W126" s="155"/>
      <c r="X126" s="155"/>
      <c r="Y126" s="152"/>
      <c r="Z126" s="152"/>
      <c r="AA126" s="152"/>
      <c r="AB126" s="152"/>
      <c r="AC126" s="155"/>
      <c r="AD126" s="155"/>
    </row>
    <row r="127" spans="1:30" x14ac:dyDescent="0.25">
      <c r="D127" s="139" t="s">
        <v>156</v>
      </c>
      <c r="E127" s="144">
        <f>+SUM(E76:E81,E69:E74)</f>
        <v>800873.42</v>
      </c>
      <c r="F127" s="145">
        <f>+E127/E126-1</f>
        <v>0.11583364361881898</v>
      </c>
      <c r="K127" s="139" t="s">
        <v>157</v>
      </c>
      <c r="L127" s="144">
        <f>+SUM(L76:L81,L69:L74)</f>
        <v>698146.66</v>
      </c>
      <c r="M127" s="145">
        <f>+L127/L126-1</f>
        <v>5.1341142143086937E-2</v>
      </c>
      <c r="O127" s="155"/>
      <c r="P127" s="155"/>
      <c r="Q127" s="155"/>
      <c r="R127" s="155"/>
      <c r="S127" s="164"/>
      <c r="T127" s="165"/>
      <c r="U127" s="155"/>
      <c r="V127" s="155"/>
      <c r="W127" s="155"/>
      <c r="X127" s="155"/>
      <c r="Y127" s="160"/>
      <c r="Z127" s="160"/>
      <c r="AA127" s="152"/>
      <c r="AB127" s="153"/>
      <c r="AC127" s="155"/>
      <c r="AD127" s="155"/>
    </row>
    <row r="128" spans="1:30" ht="12.75" x14ac:dyDescent="0.25">
      <c r="D128" s="139" t="s">
        <v>154</v>
      </c>
      <c r="E128" s="144">
        <f>+SUM(E89:E94,E82:E87)</f>
        <v>893272.54178858013</v>
      </c>
      <c r="F128" s="145">
        <f>+E128/E127-1</f>
        <v>0.115372940943127</v>
      </c>
      <c r="K128" s="139" t="s">
        <v>156</v>
      </c>
      <c r="L128" s="144">
        <f>+SUM(L89:L94,L82:L87)</f>
        <v>690815.81</v>
      </c>
      <c r="M128" s="145">
        <f>+L128/L127-1</f>
        <v>-1.0500444133042186E-2</v>
      </c>
      <c r="O128" s="155"/>
      <c r="P128" s="155"/>
      <c r="Q128" s="155"/>
      <c r="R128" s="155"/>
      <c r="S128" s="164"/>
      <c r="T128" s="165"/>
      <c r="U128" s="155"/>
      <c r="V128" s="155"/>
      <c r="W128" s="155"/>
      <c r="X128" s="155"/>
      <c r="Y128" s="155"/>
      <c r="Z128" s="155"/>
      <c r="AA128" s="155"/>
      <c r="AB128" s="155"/>
      <c r="AC128" s="155"/>
      <c r="AD128" s="155"/>
    </row>
    <row r="129" spans="2:30" ht="12.75" x14ac:dyDescent="0.25">
      <c r="C129" s="139" t="s">
        <v>155</v>
      </c>
      <c r="D129" s="139" t="s">
        <v>153</v>
      </c>
      <c r="E129" s="144">
        <f>+SUM(E102:E107,E95:E100)</f>
        <v>905333.48167536024</v>
      </c>
      <c r="F129" s="145">
        <f>+E129/E128-1</f>
        <v>1.350197092438421E-2</v>
      </c>
      <c r="J129" s="139" t="s">
        <v>155</v>
      </c>
      <c r="K129" s="139" t="s">
        <v>154</v>
      </c>
      <c r="L129" s="144">
        <f>+SUM(L102:L107,L95:L100)</f>
        <v>703988.14000000025</v>
      </c>
      <c r="M129" s="145">
        <f>+L129/L128-1</f>
        <v>1.9067788850982037E-2</v>
      </c>
      <c r="O129" s="155"/>
      <c r="P129" s="155"/>
      <c r="Q129" s="155"/>
      <c r="R129" s="155"/>
      <c r="S129" s="164"/>
      <c r="T129" s="165"/>
      <c r="U129" s="155"/>
      <c r="V129" s="155"/>
      <c r="W129" s="155"/>
      <c r="X129" s="155"/>
      <c r="Y129" s="155"/>
      <c r="Z129" s="155"/>
      <c r="AA129" s="155"/>
      <c r="AB129" s="155"/>
      <c r="AC129" s="155"/>
      <c r="AD129" s="155"/>
    </row>
    <row r="130" spans="2:30" ht="12.75" x14ac:dyDescent="0.25">
      <c r="D130" s="139" t="s">
        <v>152</v>
      </c>
      <c r="E130" s="144">
        <f>+SUM(E115:E120,E108:E113)</f>
        <v>1259340.2879114195</v>
      </c>
      <c r="F130" s="145">
        <f>+E130/E129-1</f>
        <v>0.39102365415775164</v>
      </c>
      <c r="K130" s="139" t="s">
        <v>153</v>
      </c>
      <c r="L130" s="144">
        <f>+SUM(L115:L120,L108:L113)</f>
        <v>778714.86999999988</v>
      </c>
      <c r="M130" s="145">
        <f>+L130/L129-1</f>
        <v>0.106147711522526</v>
      </c>
      <c r="O130" s="155"/>
      <c r="P130" s="155"/>
      <c r="Q130" s="155"/>
      <c r="R130" s="155"/>
      <c r="S130" s="164"/>
      <c r="T130" s="165"/>
      <c r="U130" s="155"/>
      <c r="V130" s="155"/>
      <c r="W130" s="155"/>
      <c r="X130" s="155"/>
      <c r="Y130" s="155"/>
      <c r="Z130" s="155"/>
      <c r="AA130" s="155"/>
      <c r="AB130" s="155"/>
      <c r="AC130" s="155"/>
      <c r="AD130" s="155"/>
    </row>
    <row r="131" spans="2:30" ht="12.75" x14ac:dyDescent="0.25">
      <c r="D131" s="146"/>
      <c r="E131" s="137" t="s">
        <v>142</v>
      </c>
      <c r="F131" s="138">
        <f>+AVERAGE(F127:F130)</f>
        <v>0.15893305241102046</v>
      </c>
      <c r="K131" s="139" t="s">
        <v>152</v>
      </c>
      <c r="L131" s="137" t="s">
        <v>142</v>
      </c>
      <c r="M131" s="138">
        <f>+AVERAGE(M127:M130)</f>
        <v>4.1514049595888197E-2</v>
      </c>
      <c r="O131" s="155"/>
      <c r="P131" s="155"/>
      <c r="Q131" s="155"/>
      <c r="R131" s="166"/>
      <c r="S131" s="148"/>
      <c r="T131" s="154"/>
      <c r="U131" s="155"/>
      <c r="V131" s="155"/>
      <c r="W131" s="155"/>
      <c r="X131" s="155"/>
      <c r="Y131" s="155"/>
      <c r="Z131" s="155"/>
      <c r="AA131" s="155"/>
      <c r="AB131" s="155"/>
      <c r="AC131" s="155"/>
      <c r="AD131" s="155"/>
    </row>
    <row r="132" spans="2:30" x14ac:dyDescent="0.25">
      <c r="O132" s="155"/>
      <c r="P132" s="155"/>
      <c r="Q132" s="155"/>
      <c r="R132" s="155"/>
      <c r="S132" s="156"/>
      <c r="T132" s="155"/>
      <c r="U132" s="155"/>
      <c r="V132" s="155"/>
      <c r="W132" s="155"/>
      <c r="X132" s="155"/>
      <c r="Y132" s="155"/>
      <c r="Z132" s="155"/>
      <c r="AA132" s="155"/>
      <c r="AB132" s="155"/>
      <c r="AC132" s="155"/>
      <c r="AD132" s="155"/>
    </row>
    <row r="133" spans="2:30" x14ac:dyDescent="0.25">
      <c r="C133" s="139" t="s">
        <v>56</v>
      </c>
      <c r="D133" s="140">
        <f>+E130*(1+F131*1.5)</f>
        <v>1559566.4818843224</v>
      </c>
      <c r="J133" s="139" t="s">
        <v>56</v>
      </c>
      <c r="L133" s="140">
        <f>+L130*(1+M131*1.5)</f>
        <v>827206.28160135343</v>
      </c>
      <c r="O133" s="155"/>
      <c r="P133" s="155"/>
      <c r="Q133" s="155"/>
      <c r="R133" s="155"/>
      <c r="S133" s="156"/>
      <c r="T133" s="155"/>
      <c r="U133" s="155"/>
      <c r="V133" s="155"/>
      <c r="W133" s="155"/>
      <c r="X133" s="155"/>
      <c r="Y133" s="155"/>
      <c r="Z133" s="155"/>
      <c r="AA133" s="155"/>
      <c r="AB133" s="155"/>
      <c r="AC133" s="155"/>
      <c r="AD133" s="155"/>
    </row>
    <row r="134" spans="2:30" ht="12.75" x14ac:dyDescent="0.25">
      <c r="C134" s="130" t="s">
        <v>110</v>
      </c>
      <c r="E134" s="132">
        <f>+E129-D133</f>
        <v>-654233.00020896213</v>
      </c>
      <c r="J134" s="130" t="s">
        <v>110</v>
      </c>
      <c r="L134" s="132">
        <f>+L129-L133</f>
        <v>-123218.14160135319</v>
      </c>
      <c r="O134" s="155"/>
      <c r="P134" s="155"/>
      <c r="Q134" s="149"/>
      <c r="R134" s="155"/>
      <c r="S134" s="147"/>
      <c r="T134" s="155"/>
      <c r="U134" s="155"/>
      <c r="V134" s="155"/>
      <c r="W134" s="155"/>
      <c r="X134" s="155"/>
      <c r="Y134" s="155"/>
      <c r="Z134" s="155"/>
      <c r="AA134" s="155"/>
      <c r="AB134" s="155"/>
      <c r="AC134" s="155"/>
      <c r="AD134" s="155"/>
    </row>
    <row r="135" spans="2:30" x14ac:dyDescent="0.25">
      <c r="D135" s="130"/>
      <c r="K135" s="130"/>
      <c r="O135" s="155"/>
      <c r="P135" s="155"/>
      <c r="Q135" s="155"/>
      <c r="R135" s="149"/>
      <c r="S135" s="156"/>
      <c r="T135" s="155"/>
      <c r="U135" s="155"/>
      <c r="V135" s="155"/>
      <c r="W135" s="155"/>
      <c r="X135" s="155"/>
      <c r="Y135" s="155"/>
      <c r="Z135" s="155"/>
      <c r="AA135" s="155"/>
      <c r="AB135" s="155"/>
      <c r="AC135" s="155"/>
      <c r="AD135" s="155"/>
    </row>
    <row r="136" spans="2:30" x14ac:dyDescent="0.25">
      <c r="C136" s="139" t="s">
        <v>141</v>
      </c>
      <c r="E136" s="140">
        <f>+D133*(1+F131)</f>
        <v>1807433.1432881141</v>
      </c>
      <c r="J136" s="139" t="s">
        <v>141</v>
      </c>
      <c r="L136" s="140">
        <f>+L133*(1+M131)</f>
        <v>861546.96420178225</v>
      </c>
      <c r="O136" s="155"/>
      <c r="P136" s="155"/>
      <c r="Q136" s="155"/>
      <c r="R136" s="155"/>
      <c r="S136" s="156"/>
      <c r="T136" s="155"/>
      <c r="U136" s="155"/>
      <c r="V136" s="155"/>
      <c r="W136" s="155"/>
      <c r="X136" s="155"/>
      <c r="Y136" s="155"/>
      <c r="Z136" s="155"/>
      <c r="AA136" s="155"/>
      <c r="AB136" s="155"/>
      <c r="AC136" s="155"/>
      <c r="AD136" s="155"/>
    </row>
    <row r="137" spans="2:30" ht="12.75" x14ac:dyDescent="0.25">
      <c r="C137" s="130" t="s">
        <v>140</v>
      </c>
      <c r="D137" s="130"/>
      <c r="E137" s="132">
        <f>+D133-E136</f>
        <v>-247866.66140379175</v>
      </c>
      <c r="J137" s="130" t="s">
        <v>140</v>
      </c>
      <c r="K137" s="130"/>
      <c r="L137" s="132">
        <f>+L133-L136</f>
        <v>-34340.682600428816</v>
      </c>
      <c r="O137" s="155"/>
      <c r="P137" s="155"/>
      <c r="Q137" s="149"/>
      <c r="R137" s="149"/>
      <c r="S137" s="147"/>
      <c r="T137" s="155"/>
      <c r="U137" s="155"/>
      <c r="V137" s="155"/>
      <c r="W137" s="155"/>
      <c r="X137" s="155"/>
      <c r="Y137" s="155"/>
      <c r="Z137" s="155"/>
      <c r="AA137" s="155"/>
      <c r="AB137" s="155"/>
      <c r="AC137" s="155"/>
      <c r="AD137" s="155"/>
    </row>
    <row r="138" spans="2:30" x14ac:dyDescent="0.25">
      <c r="O138" s="155"/>
      <c r="P138" s="155"/>
      <c r="Q138" s="155"/>
      <c r="R138" s="155"/>
      <c r="S138" s="156"/>
      <c r="T138" s="155"/>
      <c r="U138" s="155"/>
      <c r="V138" s="155"/>
      <c r="W138" s="155"/>
      <c r="X138" s="155"/>
      <c r="Y138" s="155"/>
      <c r="Z138" s="155"/>
      <c r="AA138" s="155"/>
      <c r="AB138" s="155"/>
      <c r="AC138" s="155"/>
      <c r="AD138" s="155"/>
    </row>
    <row r="139" spans="2:30" x14ac:dyDescent="0.25">
      <c r="O139" s="155"/>
      <c r="P139" s="155"/>
      <c r="Q139" s="155"/>
      <c r="R139" s="155"/>
      <c r="S139" s="156"/>
      <c r="T139" s="155"/>
      <c r="U139" s="155"/>
      <c r="V139" s="155"/>
      <c r="W139" s="155"/>
      <c r="X139" s="155"/>
      <c r="Y139" s="155"/>
      <c r="Z139" s="155"/>
      <c r="AA139" s="155"/>
      <c r="AB139" s="155"/>
      <c r="AC139" s="155"/>
      <c r="AD139" s="155"/>
    </row>
    <row r="142" spans="2:30" x14ac:dyDescent="0.25">
      <c r="B142" s="175"/>
      <c r="C142" s="195" t="s">
        <v>193</v>
      </c>
      <c r="D142" s="175"/>
      <c r="E142" s="173"/>
      <c r="F142" s="175"/>
      <c r="G142" s="175"/>
      <c r="H142" s="175"/>
      <c r="I142" s="175"/>
      <c r="J142" s="175"/>
      <c r="K142" s="175"/>
    </row>
    <row r="143" spans="2:30" x14ac:dyDescent="0.25">
      <c r="B143" s="175"/>
      <c r="C143" s="175"/>
      <c r="D143" s="175"/>
      <c r="E143" s="174"/>
      <c r="F143" s="175"/>
      <c r="G143" s="175"/>
      <c r="H143" s="175"/>
      <c r="I143" s="175"/>
      <c r="J143" s="175"/>
      <c r="K143" s="175"/>
    </row>
    <row r="144" spans="2:30" ht="71.25" x14ac:dyDescent="0.25">
      <c r="B144" s="175"/>
      <c r="C144" s="176"/>
      <c r="D144" s="177" t="s">
        <v>151</v>
      </c>
      <c r="E144" s="178" t="s">
        <v>148</v>
      </c>
      <c r="F144" s="179" t="s">
        <v>150</v>
      </c>
      <c r="G144" s="178" t="s">
        <v>148</v>
      </c>
      <c r="H144" s="177" t="s">
        <v>149</v>
      </c>
      <c r="I144" s="178" t="s">
        <v>148</v>
      </c>
      <c r="J144" s="175"/>
      <c r="K144" s="180"/>
      <c r="L144" s="155"/>
      <c r="M144" s="155"/>
      <c r="N144" s="155"/>
      <c r="O144" s="155"/>
      <c r="S144" s="139"/>
      <c r="T144" s="140"/>
    </row>
    <row r="145" spans="2:20" x14ac:dyDescent="0.25">
      <c r="B145" s="175"/>
      <c r="C145" s="176" t="s">
        <v>147</v>
      </c>
      <c r="D145" s="181">
        <v>717735.50168522005</v>
      </c>
      <c r="E145" s="176"/>
      <c r="F145" s="181">
        <f>D145</f>
        <v>717735.50168522005</v>
      </c>
      <c r="G145" s="176"/>
      <c r="H145" s="181">
        <f>L126</f>
        <v>664053.39999999991</v>
      </c>
      <c r="I145" s="176"/>
      <c r="J145" s="175"/>
      <c r="K145" s="180"/>
      <c r="L145" s="155"/>
      <c r="M145" s="155"/>
      <c r="N145" s="155"/>
      <c r="O145" s="155"/>
      <c r="S145" s="139"/>
      <c r="T145" s="140"/>
    </row>
    <row r="146" spans="2:20" x14ac:dyDescent="0.25">
      <c r="B146" s="175"/>
      <c r="C146" s="176" t="s">
        <v>146</v>
      </c>
      <c r="D146" s="181">
        <v>800873.42</v>
      </c>
      <c r="E146" s="182">
        <f>+D146/D145-1</f>
        <v>0.11583364361881898</v>
      </c>
      <c r="F146" s="181">
        <f>D146</f>
        <v>800873.42</v>
      </c>
      <c r="G146" s="182">
        <f>+F146/F145-1</f>
        <v>0.11583364361881898</v>
      </c>
      <c r="H146" s="181">
        <f>L127</f>
        <v>698146.66</v>
      </c>
      <c r="I146" s="182">
        <f>+H146/H145-1</f>
        <v>5.1341142143086937E-2</v>
      </c>
      <c r="J146" s="183"/>
      <c r="K146" s="184"/>
      <c r="L146" s="167"/>
      <c r="M146" s="155"/>
      <c r="N146" s="155"/>
      <c r="O146" s="155"/>
      <c r="S146" s="139"/>
      <c r="T146" s="140"/>
    </row>
    <row r="147" spans="2:20" x14ac:dyDescent="0.25">
      <c r="B147" s="175"/>
      <c r="C147" s="176" t="s">
        <v>145</v>
      </c>
      <c r="D147" s="181">
        <v>893272.54178858013</v>
      </c>
      <c r="E147" s="182">
        <f>+D147/D146-1</f>
        <v>0.115372940943127</v>
      </c>
      <c r="F147" s="181">
        <f>D147</f>
        <v>893272.54178858013</v>
      </c>
      <c r="G147" s="182">
        <f>+F147/F146-1</f>
        <v>0.115372940943127</v>
      </c>
      <c r="H147" s="181">
        <f>L128</f>
        <v>690815.81</v>
      </c>
      <c r="I147" s="182">
        <f>+H147/H146-1</f>
        <v>-1.0500444133042186E-2</v>
      </c>
      <c r="J147" s="183"/>
      <c r="K147" s="185"/>
      <c r="L147" s="168"/>
      <c r="M147" s="155"/>
      <c r="N147" s="155"/>
      <c r="O147" s="155"/>
      <c r="S147" s="139"/>
      <c r="T147" s="140"/>
    </row>
    <row r="148" spans="2:20" x14ac:dyDescent="0.25">
      <c r="B148" s="175"/>
      <c r="C148" s="176" t="s">
        <v>144</v>
      </c>
      <c r="D148" s="181">
        <v>905333.48167536024</v>
      </c>
      <c r="E148" s="182">
        <f>+D148/D147-1</f>
        <v>1.350197092438421E-2</v>
      </c>
      <c r="F148" s="181">
        <f>D148</f>
        <v>905333.48167536024</v>
      </c>
      <c r="G148" s="182">
        <f>+F148/F147-1</f>
        <v>1.350197092438421E-2</v>
      </c>
      <c r="H148" s="181">
        <f>L129</f>
        <v>703988.14000000025</v>
      </c>
      <c r="I148" s="182">
        <f>+H148/H147-1</f>
        <v>1.9067788850982037E-2</v>
      </c>
      <c r="J148" s="183"/>
      <c r="K148" s="185"/>
      <c r="L148" s="168"/>
      <c r="M148" s="168"/>
      <c r="N148" s="169"/>
      <c r="O148" s="155"/>
      <c r="S148" s="139"/>
      <c r="T148" s="140"/>
    </row>
    <row r="149" spans="2:20" x14ac:dyDescent="0.25">
      <c r="B149" s="175"/>
      <c r="C149" s="176" t="s">
        <v>143</v>
      </c>
      <c r="D149" s="181">
        <v>1259340.2879114195</v>
      </c>
      <c r="E149" s="182">
        <f>+D149/D148-1</f>
        <v>0.39102365415775164</v>
      </c>
      <c r="F149" s="181">
        <f>D149</f>
        <v>1259340.2879114195</v>
      </c>
      <c r="G149" s="182">
        <f>+F149/F148-1</f>
        <v>0.39102365415775164</v>
      </c>
      <c r="H149" s="181">
        <f>L130</f>
        <v>778714.86999999988</v>
      </c>
      <c r="I149" s="182">
        <f>+H149/H148-1</f>
        <v>0.106147711522526</v>
      </c>
      <c r="J149" s="183"/>
      <c r="K149" s="185"/>
      <c r="L149" s="168"/>
      <c r="M149" s="168"/>
      <c r="N149" s="169"/>
      <c r="O149" s="155"/>
      <c r="S149" s="139"/>
      <c r="T149" s="140"/>
    </row>
    <row r="150" spans="2:20" x14ac:dyDescent="0.25">
      <c r="B150" s="175"/>
      <c r="C150" s="176"/>
      <c r="D150" s="186" t="s">
        <v>142</v>
      </c>
      <c r="E150" s="187">
        <f>+AVERAGE(E146:E149)</f>
        <v>0.15893305241102046</v>
      </c>
      <c r="F150" s="176"/>
      <c r="G150" s="187">
        <f>+AVERAGE(G146:G149)</f>
        <v>0.15893305241102046</v>
      </c>
      <c r="H150" s="176"/>
      <c r="I150" s="187">
        <f>+AVERAGE(I146:I149)</f>
        <v>4.1514049595888197E-2</v>
      </c>
      <c r="J150" s="188"/>
      <c r="K150" s="185"/>
      <c r="L150" s="168"/>
      <c r="M150" s="168"/>
      <c r="N150" s="169"/>
      <c r="O150" s="155"/>
      <c r="S150" s="139"/>
      <c r="T150" s="140"/>
    </row>
    <row r="151" spans="2:20" x14ac:dyDescent="0.25">
      <c r="B151" s="175"/>
      <c r="C151" s="176"/>
      <c r="D151" s="176"/>
      <c r="E151" s="189"/>
      <c r="F151" s="176"/>
      <c r="G151" s="189"/>
      <c r="H151" s="176"/>
      <c r="I151" s="176"/>
      <c r="J151" s="175"/>
      <c r="K151" s="185"/>
      <c r="L151" s="168"/>
      <c r="M151" s="168"/>
      <c r="N151" s="169"/>
      <c r="O151" s="155"/>
      <c r="S151" s="139"/>
      <c r="T151" s="140"/>
    </row>
    <row r="152" spans="2:20" x14ac:dyDescent="0.25">
      <c r="B152" s="175"/>
      <c r="C152" s="176" t="s">
        <v>56</v>
      </c>
      <c r="D152" s="176"/>
      <c r="E152" s="189">
        <f>+D149*(1+E150*1.5)</f>
        <v>1559566.4818843224</v>
      </c>
      <c r="F152" s="176"/>
      <c r="G152" s="189">
        <f>+F148*(1+G150*1.5)</f>
        <v>1121164.6022142028</v>
      </c>
      <c r="H152" s="190"/>
      <c r="I152" s="189">
        <f>+H148*(1+I150*1.5)</f>
        <v>747826.23783831601</v>
      </c>
      <c r="J152" s="173"/>
      <c r="K152" s="185"/>
      <c r="L152" s="168"/>
      <c r="M152" s="168"/>
      <c r="N152" s="169"/>
      <c r="O152" s="155"/>
      <c r="S152" s="139"/>
      <c r="T152" s="140"/>
    </row>
    <row r="153" spans="2:20" x14ac:dyDescent="0.25">
      <c r="B153" s="175"/>
      <c r="C153" s="191" t="s">
        <v>110</v>
      </c>
      <c r="D153" s="176"/>
      <c r="E153" s="192">
        <f>+D148-E152</f>
        <v>-654233.00020896213</v>
      </c>
      <c r="F153" s="176"/>
      <c r="G153" s="192">
        <f>+F148-G152</f>
        <v>-215831.12053884252</v>
      </c>
      <c r="H153" s="176"/>
      <c r="I153" s="192">
        <f>+H148-I152</f>
        <v>-43838.097838315764</v>
      </c>
      <c r="J153" s="193"/>
      <c r="K153" s="185"/>
      <c r="L153" s="168"/>
      <c r="M153" s="168"/>
      <c r="N153" s="169"/>
      <c r="O153" s="155"/>
      <c r="S153" s="139"/>
      <c r="T153" s="140"/>
    </row>
    <row r="154" spans="2:20" x14ac:dyDescent="0.25">
      <c r="B154" s="175"/>
      <c r="C154" s="176"/>
      <c r="D154" s="191"/>
      <c r="E154" s="189"/>
      <c r="F154" s="176"/>
      <c r="G154" s="189"/>
      <c r="H154" s="176"/>
      <c r="I154" s="189"/>
      <c r="J154" s="173"/>
      <c r="K154" s="185"/>
      <c r="L154" s="168"/>
      <c r="M154" s="168"/>
      <c r="N154" s="169"/>
      <c r="O154" s="155"/>
      <c r="S154" s="139"/>
      <c r="T154" s="140"/>
    </row>
    <row r="155" spans="2:20" x14ac:dyDescent="0.25">
      <c r="B155" s="175"/>
      <c r="C155" s="176" t="s">
        <v>141</v>
      </c>
      <c r="D155" s="176"/>
      <c r="E155" s="189">
        <f>+E152*(1+E150)</f>
        <v>1807433.1432881141</v>
      </c>
      <c r="F155" s="176"/>
      <c r="G155" s="189">
        <f>+G152*(1+G150)</f>
        <v>1299354.7146992935</v>
      </c>
      <c r="H155" s="176"/>
      <c r="I155" s="189">
        <f>+I152*(1+I150)</f>
        <v>778871.5333650423</v>
      </c>
      <c r="J155" s="173"/>
      <c r="K155" s="194"/>
      <c r="L155" s="170"/>
      <c r="M155" s="155"/>
      <c r="N155" s="169"/>
      <c r="O155" s="155"/>
      <c r="S155" s="139"/>
      <c r="T155" s="140"/>
    </row>
    <row r="156" spans="2:20" x14ac:dyDescent="0.25">
      <c r="B156" s="175"/>
      <c r="C156" s="191" t="s">
        <v>140</v>
      </c>
      <c r="D156" s="191"/>
      <c r="E156" s="192">
        <f>+E152-E155</f>
        <v>-247866.66140379175</v>
      </c>
      <c r="F156" s="176"/>
      <c r="G156" s="192">
        <f>+G152-G155</f>
        <v>-178190.11248509074</v>
      </c>
      <c r="H156" s="176"/>
      <c r="I156" s="192">
        <f>+I152-I155</f>
        <v>-31045.295526726288</v>
      </c>
      <c r="J156" s="193"/>
      <c r="K156" s="194"/>
      <c r="L156" s="170"/>
      <c r="M156" s="155"/>
      <c r="N156" s="155"/>
      <c r="O156" s="155"/>
      <c r="S156" s="139"/>
      <c r="T156" s="140"/>
    </row>
    <row r="157" spans="2:20" x14ac:dyDescent="0.25">
      <c r="B157" s="175"/>
      <c r="C157" s="175"/>
      <c r="D157" s="175"/>
      <c r="E157" s="174"/>
      <c r="F157" s="175"/>
      <c r="G157" s="175"/>
      <c r="H157" s="175"/>
      <c r="I157" s="175"/>
      <c r="J157" s="175"/>
      <c r="K157" s="180"/>
      <c r="L157" s="155"/>
      <c r="M157" s="155"/>
      <c r="N157" s="155"/>
      <c r="O157" s="155"/>
      <c r="S157" s="139"/>
      <c r="T157" s="140"/>
    </row>
    <row r="158" spans="2:20" x14ac:dyDescent="0.25">
      <c r="B158" s="175"/>
      <c r="C158" s="175"/>
      <c r="D158" s="175"/>
      <c r="E158" s="174"/>
      <c r="F158" s="175"/>
      <c r="G158" s="175"/>
      <c r="H158" s="175"/>
      <c r="I158" s="175"/>
      <c r="J158" s="175"/>
      <c r="K158" s="180"/>
      <c r="L158" s="155"/>
      <c r="M158" s="155"/>
      <c r="N158" s="155"/>
      <c r="O158" s="155"/>
      <c r="S158" s="139"/>
      <c r="T158" s="140"/>
    </row>
    <row r="159" spans="2:20" x14ac:dyDescent="0.25">
      <c r="B159" s="175"/>
      <c r="C159" s="175"/>
      <c r="D159" s="175"/>
      <c r="E159" s="173"/>
      <c r="F159" s="175"/>
      <c r="G159" s="175"/>
      <c r="H159" s="175"/>
      <c r="I159" s="175"/>
      <c r="J159" s="175"/>
      <c r="K159" s="180"/>
      <c r="L159" s="160"/>
      <c r="M159" s="155"/>
      <c r="N159" s="155"/>
      <c r="O159" s="155"/>
      <c r="S159" s="139"/>
      <c r="T159" s="140"/>
    </row>
    <row r="160" spans="2:20" x14ac:dyDescent="0.25">
      <c r="K160" s="155"/>
      <c r="L160" s="160"/>
      <c r="M160" s="155"/>
      <c r="N160" s="155"/>
      <c r="O160" s="155"/>
      <c r="S160" s="139"/>
      <c r="T160" s="140"/>
    </row>
    <row r="161" spans="11:20" x14ac:dyDescent="0.25">
      <c r="K161" s="155"/>
      <c r="L161" s="160"/>
      <c r="M161" s="155"/>
      <c r="N161" s="155"/>
      <c r="O161" s="155"/>
      <c r="S161" s="139"/>
      <c r="T161" s="140"/>
    </row>
    <row r="162" spans="11:20" x14ac:dyDescent="0.2">
      <c r="K162" s="155"/>
      <c r="L162" s="171"/>
      <c r="M162" s="155"/>
      <c r="N162" s="155"/>
      <c r="O162" s="155"/>
      <c r="S162" s="139"/>
      <c r="T162" s="140"/>
    </row>
    <row r="163" spans="11:20" x14ac:dyDescent="0.2">
      <c r="K163" s="155"/>
      <c r="L163" s="172"/>
      <c r="M163" s="155"/>
      <c r="N163" s="155"/>
      <c r="O163" s="155"/>
      <c r="S163" s="139"/>
      <c r="T163" s="140"/>
    </row>
    <row r="164" spans="11:20" x14ac:dyDescent="0.25">
      <c r="K164" s="155"/>
      <c r="L164" s="160"/>
      <c r="M164" s="155"/>
      <c r="N164" s="155"/>
      <c r="O164" s="155"/>
      <c r="S164" s="139"/>
      <c r="T164" s="140"/>
    </row>
    <row r="165" spans="11:20" x14ac:dyDescent="0.25">
      <c r="L165" s="139"/>
      <c r="M165" s="140"/>
      <c r="S165" s="139"/>
      <c r="T165" s="140"/>
    </row>
    <row r="166" spans="11:20" x14ac:dyDescent="0.25">
      <c r="L166" s="139"/>
      <c r="M166" s="140"/>
      <c r="S166" s="139"/>
      <c r="T166" s="140"/>
    </row>
    <row r="167" spans="11:20" x14ac:dyDescent="0.25">
      <c r="L167" s="139"/>
      <c r="M167" s="140"/>
      <c r="S167" s="139"/>
      <c r="T167" s="140"/>
    </row>
    <row r="168" spans="11:20" x14ac:dyDescent="0.25">
      <c r="L168" s="139"/>
      <c r="M168" s="140"/>
      <c r="S168" s="139"/>
      <c r="T168" s="140"/>
    </row>
    <row r="169" spans="11:20" x14ac:dyDescent="0.25">
      <c r="L169" s="139"/>
      <c r="M169" s="140"/>
      <c r="S169" s="139"/>
      <c r="T169" s="140"/>
    </row>
    <row r="170" spans="11:20" x14ac:dyDescent="0.25">
      <c r="L170" s="139"/>
      <c r="M170" s="140"/>
      <c r="S170" s="139"/>
      <c r="T170" s="140"/>
    </row>
    <row r="171" spans="11:20" x14ac:dyDescent="0.25">
      <c r="L171" s="139"/>
      <c r="M171" s="140"/>
      <c r="S171" s="139"/>
      <c r="T171" s="140"/>
    </row>
  </sheetData>
  <pageMargins left="0.7" right="0.7" top="0.75" bottom="0.75" header="0.3" footer="0.3"/>
  <pageSetup scale="75" orientation="portrait" horizontalDpi="1200" verticalDpi="1200" r:id="rId1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F4EA7-9554-4706-A8B0-6B0E8BCC7ED3}">
  <sheetPr>
    <tabColor theme="9" tint="0.39997558519241921"/>
  </sheetPr>
  <dimension ref="A1:G21"/>
  <sheetViews>
    <sheetView view="pageBreakPreview" zoomScaleNormal="100" zoomScaleSheetLayoutView="100" workbookViewId="0">
      <selection activeCell="F35" sqref="F35"/>
    </sheetView>
  </sheetViews>
  <sheetFormatPr defaultRowHeight="15.75" x14ac:dyDescent="0.25"/>
  <cols>
    <col min="1" max="1" width="49.5703125" style="1" bestFit="1" customWidth="1"/>
    <col min="2" max="2" width="16.85546875" style="5" bestFit="1" customWidth="1"/>
    <col min="3" max="4" width="9.140625" style="1"/>
    <col min="5" max="5" width="9.140625" style="11"/>
    <col min="6" max="6" width="55.85546875" style="11" customWidth="1"/>
    <col min="7" max="7" width="18.28515625" style="21" customWidth="1"/>
    <col min="8" max="16384" width="9.140625" style="1"/>
  </cols>
  <sheetData>
    <row r="1" spans="1:7" x14ac:dyDescent="0.25">
      <c r="A1" s="1" t="s">
        <v>12</v>
      </c>
      <c r="B1" s="5">
        <v>27947817.266730789</v>
      </c>
      <c r="F1" s="18" t="s">
        <v>45</v>
      </c>
      <c r="G1" s="20"/>
    </row>
    <row r="2" spans="1:7" x14ac:dyDescent="0.25">
      <c r="E2" s="22" t="s">
        <v>44</v>
      </c>
      <c r="F2" s="23"/>
      <c r="G2" s="24">
        <f>B1/1000000</f>
        <v>27.947817266730787</v>
      </c>
    </row>
    <row r="3" spans="1:7" x14ac:dyDescent="0.25">
      <c r="A3" s="9" t="s">
        <v>35</v>
      </c>
      <c r="B3" s="6">
        <v>-77982.831110194325</v>
      </c>
      <c r="E3" s="25"/>
      <c r="F3" s="12" t="s">
        <v>46</v>
      </c>
      <c r="G3" s="26">
        <f>B3/1000000</f>
        <v>-7.7982831110194328E-2</v>
      </c>
    </row>
    <row r="4" spans="1:7" x14ac:dyDescent="0.25">
      <c r="A4" s="2"/>
      <c r="B4" s="7"/>
      <c r="E4" s="27"/>
      <c r="F4" s="13"/>
      <c r="G4" s="26"/>
    </row>
    <row r="5" spans="1:7" ht="39" x14ac:dyDescent="0.25">
      <c r="A5" s="3" t="s">
        <v>36</v>
      </c>
      <c r="B5" s="7">
        <v>-6837075.6967196912</v>
      </c>
      <c r="E5" s="37" t="s">
        <v>23</v>
      </c>
      <c r="F5" s="38"/>
      <c r="G5" s="36" t="s">
        <v>54</v>
      </c>
    </row>
    <row r="6" spans="1:7" x14ac:dyDescent="0.25">
      <c r="A6" s="3" t="s">
        <v>37</v>
      </c>
      <c r="B6" s="7">
        <v>798329.61746167263</v>
      </c>
      <c r="E6" s="25"/>
      <c r="F6" s="12" t="s">
        <v>26</v>
      </c>
      <c r="G6" s="26">
        <f>B5/1000000</f>
        <v>-6.8370756967196913</v>
      </c>
    </row>
    <row r="7" spans="1:7" x14ac:dyDescent="0.25">
      <c r="A7" s="3" t="s">
        <v>38</v>
      </c>
      <c r="B7" s="7">
        <v>-413631.69129185006</v>
      </c>
      <c r="E7" s="25"/>
      <c r="F7" s="12" t="s">
        <v>47</v>
      </c>
      <c r="G7" s="26">
        <f>B6/1000000</f>
        <v>0.79832961746167264</v>
      </c>
    </row>
    <row r="8" spans="1:7" x14ac:dyDescent="0.25">
      <c r="A8" s="3" t="s">
        <v>39</v>
      </c>
      <c r="B8" s="7">
        <v>343880.19834841788</v>
      </c>
      <c r="E8" s="25"/>
      <c r="F8" s="12" t="s">
        <v>34</v>
      </c>
      <c r="G8" s="26">
        <f>B7/1000000</f>
        <v>-0.41363169129185007</v>
      </c>
    </row>
    <row r="9" spans="1:7" x14ac:dyDescent="0.25">
      <c r="A9" s="3" t="s">
        <v>40</v>
      </c>
      <c r="B9" s="7">
        <v>176910.32173072302</v>
      </c>
      <c r="E9" s="25"/>
      <c r="F9" s="12" t="s">
        <v>48</v>
      </c>
      <c r="G9" s="26">
        <f>B8/1000000</f>
        <v>0.34388019834841788</v>
      </c>
    </row>
    <row r="10" spans="1:7" x14ac:dyDescent="0.25">
      <c r="A10" s="3" t="s">
        <v>41</v>
      </c>
      <c r="B10" s="7">
        <v>-35669.806341003627</v>
      </c>
      <c r="E10" s="25"/>
      <c r="F10" s="12" t="s">
        <v>49</v>
      </c>
      <c r="G10" s="26">
        <f t="shared" ref="G10:G13" si="0">B9/1000000</f>
        <v>0.17691032173072302</v>
      </c>
    </row>
    <row r="11" spans="1:7" x14ac:dyDescent="0.25">
      <c r="A11" s="3" t="s">
        <v>52</v>
      </c>
      <c r="B11" s="7">
        <v>54380.461093213409</v>
      </c>
      <c r="E11" s="25"/>
      <c r="F11" s="12" t="s">
        <v>31</v>
      </c>
      <c r="G11" s="26">
        <f t="shared" si="0"/>
        <v>-3.5669806341003626E-2</v>
      </c>
    </row>
    <row r="12" spans="1:7" x14ac:dyDescent="0.25">
      <c r="A12" s="3" t="s">
        <v>42</v>
      </c>
      <c r="B12" s="8">
        <v>17544.831270929426</v>
      </c>
      <c r="E12" s="25"/>
      <c r="F12" s="12" t="s">
        <v>50</v>
      </c>
      <c r="G12" s="26">
        <f t="shared" si="0"/>
        <v>5.4380461093213407E-2</v>
      </c>
    </row>
    <row r="13" spans="1:7" x14ac:dyDescent="0.25">
      <c r="A13" s="3"/>
      <c r="B13" s="7">
        <f>SUM(B3:B12)</f>
        <v>-5973314.5955577828</v>
      </c>
      <c r="E13" s="25"/>
      <c r="F13" s="12" t="s">
        <v>29</v>
      </c>
      <c r="G13" s="26">
        <f t="shared" si="0"/>
        <v>1.7544831270929425E-2</v>
      </c>
    </row>
    <row r="14" spans="1:7" x14ac:dyDescent="0.25">
      <c r="A14" s="3"/>
      <c r="B14" s="7"/>
      <c r="E14" s="25"/>
      <c r="F14" s="12"/>
      <c r="G14" s="26"/>
    </row>
    <row r="15" spans="1:7" x14ac:dyDescent="0.25">
      <c r="A15" s="4" t="s">
        <v>53</v>
      </c>
      <c r="B15" s="8">
        <f>B1+B13</f>
        <v>21974502.671173006</v>
      </c>
      <c r="E15" s="32" t="s">
        <v>51</v>
      </c>
      <c r="F15" s="33"/>
      <c r="G15" s="31">
        <f>SUM(G3:G14)</f>
        <v>-5.973314595557782</v>
      </c>
    </row>
    <row r="16" spans="1:7" x14ac:dyDescent="0.25">
      <c r="E16" s="34"/>
      <c r="F16" s="35"/>
      <c r="G16" s="24"/>
    </row>
    <row r="17" spans="5:7" x14ac:dyDescent="0.25">
      <c r="E17" s="29" t="s">
        <v>33</v>
      </c>
      <c r="F17" s="30"/>
      <c r="G17" s="31">
        <f>G2+G15</f>
        <v>21.974502671173006</v>
      </c>
    </row>
    <row r="18" spans="5:7" x14ac:dyDescent="0.25">
      <c r="E18" s="14"/>
      <c r="F18" s="14"/>
    </row>
    <row r="19" spans="5:7" x14ac:dyDescent="0.25">
      <c r="E19" s="14"/>
      <c r="F19" s="14"/>
    </row>
    <row r="20" spans="5:7" x14ac:dyDescent="0.25">
      <c r="E20" s="15"/>
      <c r="F20" s="14"/>
    </row>
    <row r="21" spans="5:7" x14ac:dyDescent="0.25">
      <c r="E21" s="16"/>
      <c r="F21" s="14"/>
    </row>
  </sheetData>
  <mergeCells count="5">
    <mergeCell ref="E16:F16"/>
    <mergeCell ref="E17:F17"/>
    <mergeCell ref="E2:F2"/>
    <mergeCell ref="E5:F5"/>
    <mergeCell ref="E15:F15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3189A-2D8B-4DAC-8011-6358328F8599}">
  <sheetPr>
    <tabColor theme="9" tint="0.39997558519241921"/>
  </sheetPr>
  <dimension ref="A1:C11"/>
  <sheetViews>
    <sheetView workbookViewId="0">
      <selection activeCell="F35" sqref="F35"/>
    </sheetView>
  </sheetViews>
  <sheetFormatPr defaultRowHeight="15" x14ac:dyDescent="0.25"/>
  <cols>
    <col min="1" max="1" width="34.5703125" bestFit="1" customWidth="1"/>
    <col min="2" max="3" width="11.7109375" bestFit="1" customWidth="1"/>
  </cols>
  <sheetData>
    <row r="1" spans="1:3" x14ac:dyDescent="0.25">
      <c r="A1" s="40" t="s">
        <v>65</v>
      </c>
    </row>
    <row r="2" spans="1:3" x14ac:dyDescent="0.25">
      <c r="A2" s="40"/>
    </row>
    <row r="3" spans="1:3" x14ac:dyDescent="0.25">
      <c r="A3" s="42" t="s">
        <v>55</v>
      </c>
      <c r="B3" s="43" t="s">
        <v>56</v>
      </c>
      <c r="C3" s="44" t="s">
        <v>58</v>
      </c>
    </row>
    <row r="4" spans="1:3" x14ac:dyDescent="0.25">
      <c r="A4" s="45"/>
      <c r="B4" s="46" t="s">
        <v>57</v>
      </c>
      <c r="C4" s="47" t="s">
        <v>57</v>
      </c>
    </row>
    <row r="5" spans="1:3" x14ac:dyDescent="0.25">
      <c r="A5" s="48" t="s">
        <v>59</v>
      </c>
      <c r="B5" s="49">
        <v>1.2</v>
      </c>
      <c r="C5" s="50">
        <v>1.6430727355182171E-2</v>
      </c>
    </row>
    <row r="6" spans="1:3" x14ac:dyDescent="0.25">
      <c r="A6" s="48" t="s">
        <v>60</v>
      </c>
      <c r="B6" s="49">
        <v>-62.6</v>
      </c>
      <c r="C6" s="50">
        <v>-19.971156167391687</v>
      </c>
    </row>
    <row r="7" spans="1:3" x14ac:dyDescent="0.25">
      <c r="A7" s="48" t="s">
        <v>61</v>
      </c>
      <c r="B7" s="49">
        <v>-214.6</v>
      </c>
      <c r="C7" s="50">
        <v>111.2014209706299</v>
      </c>
    </row>
    <row r="8" spans="1:3" x14ac:dyDescent="0.25">
      <c r="A8" s="48" t="s">
        <v>62</v>
      </c>
      <c r="B8" s="49">
        <v>-35.799999999999997</v>
      </c>
      <c r="C8" s="50">
        <v>38.827133583754303</v>
      </c>
    </row>
    <row r="9" spans="1:3" x14ac:dyDescent="0.25">
      <c r="A9" s="48" t="s">
        <v>63</v>
      </c>
      <c r="B9" s="49">
        <v>16.7</v>
      </c>
      <c r="C9" s="50">
        <v>-0.39005595885962246</v>
      </c>
    </row>
    <row r="10" spans="1:3" ht="15.75" thickBot="1" x14ac:dyDescent="0.3">
      <c r="A10" s="51" t="s">
        <v>64</v>
      </c>
      <c r="B10" s="41">
        <v>85.5</v>
      </c>
      <c r="C10" s="52">
        <v>-75.303762249354278</v>
      </c>
    </row>
    <row r="11" spans="1:3" ht="15.75" thickTop="1" x14ac:dyDescent="0.25">
      <c r="A11" s="53" t="s">
        <v>66</v>
      </c>
      <c r="B11" s="54">
        <f>SUM(B5:B10)</f>
        <v>-209.60000000000002</v>
      </c>
      <c r="C11" s="55">
        <f>SUM(C5:C10)</f>
        <v>54.380010906133791</v>
      </c>
    </row>
  </sheetData>
  <mergeCells count="1">
    <mergeCell ref="A3:A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74A24-598B-4305-9D4B-2F26123806C9}">
  <sheetPr>
    <tabColor theme="9" tint="0.39997558519241921"/>
  </sheetPr>
  <dimension ref="A1:D9"/>
  <sheetViews>
    <sheetView workbookViewId="0">
      <selection activeCell="F35" sqref="F35"/>
    </sheetView>
  </sheetViews>
  <sheetFormatPr defaultRowHeight="15" x14ac:dyDescent="0.25"/>
  <cols>
    <col min="1" max="1" width="13.140625" customWidth="1"/>
    <col min="2" max="3" width="14" bestFit="1" customWidth="1"/>
    <col min="4" max="4" width="12" bestFit="1" customWidth="1"/>
  </cols>
  <sheetData>
    <row r="1" spans="1:4" ht="15.75" x14ac:dyDescent="0.25">
      <c r="A1" s="63" t="s">
        <v>72</v>
      </c>
    </row>
    <row r="2" spans="1:4" ht="15.75" thickBot="1" x14ac:dyDescent="0.3"/>
    <row r="3" spans="1:4" ht="16.5" thickBot="1" x14ac:dyDescent="0.3">
      <c r="A3" s="56"/>
      <c r="B3" s="60" t="s">
        <v>67</v>
      </c>
      <c r="C3" s="59"/>
      <c r="D3" s="61"/>
    </row>
    <row r="4" spans="1:4" ht="16.5" thickBot="1" x14ac:dyDescent="0.3">
      <c r="A4" s="57" t="s">
        <v>68</v>
      </c>
      <c r="B4" s="58" t="s">
        <v>69</v>
      </c>
      <c r="C4" s="58" t="s">
        <v>70</v>
      </c>
      <c r="D4" s="58" t="s">
        <v>71</v>
      </c>
    </row>
    <row r="5" spans="1:4" ht="16.5" thickBot="1" x14ac:dyDescent="0.3">
      <c r="A5" s="57">
        <v>355</v>
      </c>
      <c r="B5" s="62">
        <v>-17855801</v>
      </c>
      <c r="C5" s="62">
        <f>'[1]8.8_R'!$I$22</f>
        <v>-11095768.00557268</v>
      </c>
      <c r="D5" s="62">
        <f>C5-B5</f>
        <v>6760032.9944273196</v>
      </c>
    </row>
    <row r="6" spans="1:4" ht="16.5" thickBot="1" x14ac:dyDescent="0.3">
      <c r="A6" s="57">
        <v>108</v>
      </c>
      <c r="B6" s="62">
        <v>499944</v>
      </c>
      <c r="C6" s="62">
        <f>'[1]8.8_R'!$I$38</f>
        <v>301559.12317440589</v>
      </c>
      <c r="D6" s="62">
        <f>C6-B6</f>
        <v>-198384.87682559411</v>
      </c>
    </row>
    <row r="7" spans="1:4" ht="16.5" thickBot="1" x14ac:dyDescent="0.3">
      <c r="A7" s="57" t="s">
        <v>75</v>
      </c>
      <c r="B7" s="62">
        <f>SUM(B5:B6)</f>
        <v>-17355857</v>
      </c>
      <c r="C7" s="62">
        <f>SUM(C5:C6)</f>
        <v>-10794208.882398274</v>
      </c>
      <c r="D7" s="62">
        <f>SUM(D5:D6)</f>
        <v>6561648.1176017253</v>
      </c>
    </row>
    <row r="8" spans="1:4" x14ac:dyDescent="0.25">
      <c r="B8" s="64" t="s">
        <v>73</v>
      </c>
    </row>
    <row r="9" spans="1:4" x14ac:dyDescent="0.25">
      <c r="B9" s="64" t="s">
        <v>74</v>
      </c>
    </row>
  </sheetData>
  <mergeCells count="1">
    <mergeCell ref="B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444D8-77D7-478C-8B94-93BAC34B2789}">
  <sheetPr>
    <tabColor theme="9" tint="0.39997558519241921"/>
  </sheetPr>
  <dimension ref="A1:P24"/>
  <sheetViews>
    <sheetView workbookViewId="0">
      <selection activeCell="F35" sqref="F35"/>
    </sheetView>
  </sheetViews>
  <sheetFormatPr defaultRowHeight="15" x14ac:dyDescent="0.25"/>
  <cols>
    <col min="1" max="1" width="9.140625" style="19"/>
    <col min="2" max="2" width="10.28515625" style="19" bestFit="1" customWidth="1"/>
    <col min="3" max="3" width="10.140625" style="19" bestFit="1" customWidth="1"/>
    <col min="4" max="4" width="6.7109375" style="19" bestFit="1" customWidth="1"/>
    <col min="5" max="5" width="10.140625" style="19" bestFit="1" customWidth="1"/>
    <col min="6" max="6" width="10.28515625" style="19" bestFit="1" customWidth="1"/>
    <col min="7" max="7" width="9.140625" style="19"/>
    <col min="8" max="8" width="10.140625" style="19" bestFit="1" customWidth="1"/>
    <col min="9" max="9" width="8.85546875" style="19" bestFit="1" customWidth="1"/>
    <col min="10" max="16384" width="9.140625" style="19"/>
  </cols>
  <sheetData>
    <row r="1" spans="1:16" x14ac:dyDescent="0.25">
      <c r="A1" s="91" t="s">
        <v>95</v>
      </c>
      <c r="C1" s="84"/>
      <c r="E1" s="85"/>
      <c r="F1" s="84"/>
      <c r="J1" s="86"/>
      <c r="K1" s="86"/>
      <c r="L1" s="86"/>
      <c r="M1" s="86"/>
      <c r="N1" s="86"/>
      <c r="O1" s="86"/>
      <c r="P1" s="86"/>
    </row>
    <row r="2" spans="1:16" x14ac:dyDescent="0.25">
      <c r="C2" s="84"/>
      <c r="E2" s="85"/>
      <c r="F2" s="84"/>
      <c r="J2" s="86"/>
      <c r="K2" s="86"/>
      <c r="L2" s="86"/>
      <c r="M2" s="86"/>
      <c r="N2" s="86"/>
      <c r="O2" s="86"/>
      <c r="P2" s="86"/>
    </row>
    <row r="3" spans="1:16" x14ac:dyDescent="0.25">
      <c r="A3" s="39"/>
      <c r="B3" s="20" t="s">
        <v>76</v>
      </c>
      <c r="C3" s="65" t="s">
        <v>77</v>
      </c>
      <c r="D3" s="20" t="s">
        <v>78</v>
      </c>
      <c r="E3" s="66" t="s">
        <v>79</v>
      </c>
      <c r="F3" s="65" t="s">
        <v>80</v>
      </c>
      <c r="G3" s="20"/>
      <c r="H3" s="65" t="s">
        <v>81</v>
      </c>
      <c r="I3" s="65" t="s">
        <v>82</v>
      </c>
      <c r="J3" s="86"/>
      <c r="K3" s="86"/>
      <c r="L3" s="86"/>
      <c r="M3" s="86"/>
      <c r="N3" s="86"/>
      <c r="O3" s="86"/>
      <c r="P3" s="86"/>
    </row>
    <row r="4" spans="1:16" ht="64.5" x14ac:dyDescent="0.25">
      <c r="A4" s="67" t="s">
        <v>83</v>
      </c>
      <c r="B4" s="67" t="s">
        <v>84</v>
      </c>
      <c r="C4" s="68" t="s">
        <v>85</v>
      </c>
      <c r="D4" s="67" t="s">
        <v>86</v>
      </c>
      <c r="E4" s="69" t="s">
        <v>87</v>
      </c>
      <c r="F4" s="68" t="s">
        <v>88</v>
      </c>
      <c r="G4" s="21"/>
      <c r="H4" s="70" t="s">
        <v>89</v>
      </c>
      <c r="I4" s="70" t="s">
        <v>90</v>
      </c>
      <c r="J4" s="86"/>
      <c r="K4" s="86"/>
      <c r="L4" s="86"/>
      <c r="M4" s="86"/>
      <c r="N4" s="86"/>
      <c r="O4" s="86"/>
      <c r="P4" s="86"/>
    </row>
    <row r="5" spans="1:16" x14ac:dyDescent="0.25">
      <c r="A5" s="71">
        <v>2013</v>
      </c>
      <c r="B5" s="72">
        <v>2.2499999999999999E-2</v>
      </c>
      <c r="C5" s="65">
        <v>4719474.75</v>
      </c>
      <c r="D5" s="72">
        <v>2.1908024367178695E-2</v>
      </c>
      <c r="E5" s="73">
        <v>4790331.8400000259</v>
      </c>
      <c r="F5" s="65">
        <f t="shared" ref="F5:F15" si="0">E5-C5</f>
        <v>70857.090000025928</v>
      </c>
      <c r="G5" s="21"/>
      <c r="H5" s="72">
        <f>(D5-B5)/B5</f>
        <v>-2.6310028125391283E-2</v>
      </c>
      <c r="I5" s="72">
        <f>F5/C5</f>
        <v>1.50137660975993E-2</v>
      </c>
      <c r="J5" s="86"/>
      <c r="K5" s="86"/>
      <c r="L5" s="86"/>
      <c r="M5" s="86"/>
      <c r="N5" s="86"/>
      <c r="O5" s="86"/>
      <c r="P5" s="86"/>
    </row>
    <row r="6" spans="1:16" x14ac:dyDescent="0.25">
      <c r="A6" s="71">
        <v>2014</v>
      </c>
      <c r="B6" s="72">
        <v>2.5000000000000001E-2</v>
      </c>
      <c r="C6" s="65">
        <v>5493640</v>
      </c>
      <c r="D6" s="72">
        <v>2.4109814108883364E-2</v>
      </c>
      <c r="E6" s="73">
        <v>5264111.929999942</v>
      </c>
      <c r="F6" s="65">
        <f t="shared" si="0"/>
        <v>-229528.07000005804</v>
      </c>
      <c r="G6" s="21"/>
      <c r="H6" s="72">
        <f t="shared" ref="H6:H15" si="1">(D6-B6)/B6</f>
        <v>-3.5607435644665481E-2</v>
      </c>
      <c r="I6" s="72">
        <f t="shared" ref="I6:I15" si="2">F6/C6</f>
        <v>-4.178069003430477E-2</v>
      </c>
      <c r="J6" s="86"/>
      <c r="K6" s="86"/>
      <c r="L6" s="86"/>
      <c r="M6" s="86"/>
      <c r="N6" s="86"/>
      <c r="O6" s="86"/>
      <c r="P6" s="86"/>
    </row>
    <row r="7" spans="1:16" x14ac:dyDescent="0.25">
      <c r="A7" s="71">
        <v>2015</v>
      </c>
      <c r="B7" s="72">
        <v>2.5000000000000001E-2</v>
      </c>
      <c r="C7" s="74">
        <v>5271307</v>
      </c>
      <c r="D7" s="72">
        <v>2.4173146795616399E-2</v>
      </c>
      <c r="E7" s="73">
        <v>5329268.0099999988</v>
      </c>
      <c r="F7" s="74">
        <f t="shared" si="0"/>
        <v>57961.009999998845</v>
      </c>
      <c r="G7" s="21"/>
      <c r="H7" s="72">
        <f t="shared" si="1"/>
        <v>-3.3074128175344109E-2</v>
      </c>
      <c r="I7" s="72">
        <f t="shared" si="2"/>
        <v>1.0995567133539906E-2</v>
      </c>
      <c r="J7" s="86"/>
      <c r="K7" s="86"/>
      <c r="L7" s="86"/>
      <c r="M7" s="86"/>
      <c r="N7" s="86"/>
      <c r="O7" s="86"/>
      <c r="P7" s="86"/>
    </row>
    <row r="8" spans="1:16" x14ac:dyDescent="0.25">
      <c r="A8" s="71">
        <v>2016</v>
      </c>
      <c r="B8" s="72">
        <v>2.1899999999999999E-2</v>
      </c>
      <c r="C8" s="74">
        <v>4700139</v>
      </c>
      <c r="D8" s="72">
        <v>2.0669308471274805E-2</v>
      </c>
      <c r="E8" s="73">
        <v>4523868.2200000007</v>
      </c>
      <c r="F8" s="74">
        <f t="shared" si="0"/>
        <v>-176270.77999999933</v>
      </c>
      <c r="G8" s="21"/>
      <c r="H8" s="72">
        <f t="shared" si="1"/>
        <v>-5.6195960215762314E-2</v>
      </c>
      <c r="I8" s="72">
        <f t="shared" si="2"/>
        <v>-3.7503312136087749E-2</v>
      </c>
      <c r="J8" s="86"/>
      <c r="K8" s="86"/>
      <c r="L8" s="86"/>
      <c r="M8" s="86"/>
      <c r="N8" s="86"/>
      <c r="O8" s="86"/>
      <c r="P8" s="86"/>
    </row>
    <row r="9" spans="1:16" x14ac:dyDescent="0.25">
      <c r="A9" s="71">
        <v>2017</v>
      </c>
      <c r="B9" s="72">
        <v>2.3400000000000001E-2</v>
      </c>
      <c r="C9" s="74">
        <v>4978166</v>
      </c>
      <c r="D9" s="72">
        <v>2.2073998919096172E-2</v>
      </c>
      <c r="E9" s="73">
        <v>4690930.959999999</v>
      </c>
      <c r="F9" s="74">
        <f t="shared" si="0"/>
        <v>-287235.04000000097</v>
      </c>
      <c r="G9" s="21"/>
      <c r="H9" s="72">
        <f t="shared" si="1"/>
        <v>-5.6666712859137991E-2</v>
      </c>
      <c r="I9" s="72">
        <f t="shared" si="2"/>
        <v>-5.7698967852819888E-2</v>
      </c>
      <c r="J9" s="86"/>
      <c r="K9" s="86"/>
      <c r="L9" s="86"/>
      <c r="M9" s="86"/>
      <c r="N9" s="86"/>
      <c r="O9" s="86"/>
      <c r="P9" s="86"/>
    </row>
    <row r="10" spans="1:16" x14ac:dyDescent="0.25">
      <c r="A10" s="71">
        <v>2018</v>
      </c>
      <c r="B10" s="72">
        <v>2.5399999999999999E-2</v>
      </c>
      <c r="C10" s="74">
        <v>5228211</v>
      </c>
      <c r="D10" s="72">
        <v>2.303055117605636E-2</v>
      </c>
      <c r="E10" s="73">
        <v>4814328.8799999962</v>
      </c>
      <c r="F10" s="74">
        <f t="shared" si="0"/>
        <v>-413882.12000000384</v>
      </c>
      <c r="G10" s="21"/>
      <c r="H10" s="72">
        <f t="shared" si="1"/>
        <v>-9.3285386769434597E-2</v>
      </c>
      <c r="I10" s="72">
        <f t="shared" si="2"/>
        <v>-7.9163239586161283E-2</v>
      </c>
      <c r="J10" s="86"/>
      <c r="K10" s="86"/>
      <c r="L10" s="86"/>
      <c r="M10" s="86"/>
      <c r="N10" s="86"/>
      <c r="O10" s="86"/>
      <c r="P10" s="86"/>
    </row>
    <row r="11" spans="1:16" x14ac:dyDescent="0.25">
      <c r="A11" s="71">
        <v>2019</v>
      </c>
      <c r="B11" s="72">
        <v>2.7E-2</v>
      </c>
      <c r="C11" s="74">
        <v>5705637</v>
      </c>
      <c r="D11" s="72">
        <v>2.64701854524425E-2</v>
      </c>
      <c r="E11" s="73">
        <v>5626118.3999999994</v>
      </c>
      <c r="F11" s="74">
        <f t="shared" si="0"/>
        <v>-79518.600000000559</v>
      </c>
      <c r="G11" s="21"/>
      <c r="H11" s="72">
        <f t="shared" si="1"/>
        <v>-1.9622761020648125E-2</v>
      </c>
      <c r="I11" s="72">
        <f t="shared" si="2"/>
        <v>-1.3936848769033248E-2</v>
      </c>
      <c r="J11" s="86"/>
      <c r="K11" s="86"/>
      <c r="L11" s="86"/>
      <c r="M11" s="86"/>
      <c r="N11" s="86"/>
      <c r="O11" s="86"/>
      <c r="P11" s="86"/>
    </row>
    <row r="12" spans="1:16" x14ac:dyDescent="0.25">
      <c r="A12" s="71">
        <v>2020</v>
      </c>
      <c r="B12" s="72">
        <v>2.8000000000000001E-2</v>
      </c>
      <c r="C12" s="74">
        <v>6177884</v>
      </c>
      <c r="D12" s="72">
        <v>2.7725904540935917E-2</v>
      </c>
      <c r="E12" s="73">
        <v>6117951.2699999996</v>
      </c>
      <c r="F12" s="74">
        <f t="shared" si="0"/>
        <v>-59932.730000000447</v>
      </c>
      <c r="G12" s="21"/>
      <c r="H12" s="72">
        <f t="shared" si="1"/>
        <v>-9.7891235380029949E-3</v>
      </c>
      <c r="I12" s="72">
        <f t="shared" si="2"/>
        <v>-9.7011743826851474E-3</v>
      </c>
      <c r="J12" s="86"/>
      <c r="K12" s="86"/>
      <c r="L12" s="86"/>
      <c r="M12" s="86"/>
      <c r="N12" s="86"/>
      <c r="O12" s="86"/>
      <c r="P12" s="86"/>
    </row>
    <row r="13" spans="1:16" x14ac:dyDescent="0.25">
      <c r="A13" s="71">
        <v>2021</v>
      </c>
      <c r="B13" s="72">
        <v>1.4999999999999999E-2</v>
      </c>
      <c r="C13" s="74">
        <v>3363101</v>
      </c>
      <c r="D13" s="72">
        <v>1.4717571329142832E-2</v>
      </c>
      <c r="E13" s="73">
        <v>3309172.2499999939</v>
      </c>
      <c r="F13" s="74">
        <f t="shared" si="0"/>
        <v>-53928.750000006054</v>
      </c>
      <c r="G13" s="21"/>
      <c r="H13" s="72">
        <f t="shared" si="1"/>
        <v>-1.8828578057144531E-2</v>
      </c>
      <c r="I13" s="72">
        <f t="shared" si="2"/>
        <v>-1.6035423854355267E-2</v>
      </c>
      <c r="J13" s="86"/>
      <c r="K13" s="86"/>
      <c r="L13" s="86"/>
      <c r="M13" s="86"/>
      <c r="N13" s="86"/>
      <c r="O13" s="86"/>
      <c r="P13" s="86"/>
    </row>
    <row r="14" spans="1:16" x14ac:dyDescent="0.25">
      <c r="A14" s="71">
        <v>2022</v>
      </c>
      <c r="B14" s="72">
        <v>3.6900000000000002E-2</v>
      </c>
      <c r="C14" s="74">
        <v>7904685</v>
      </c>
      <c r="D14" s="72">
        <v>3.4826057839488077E-2</v>
      </c>
      <c r="E14" s="73">
        <v>7455092.4700001264</v>
      </c>
      <c r="F14" s="74">
        <f t="shared" si="0"/>
        <v>-449592.5299998736</v>
      </c>
      <c r="G14" s="21"/>
      <c r="H14" s="72">
        <f t="shared" si="1"/>
        <v>-5.6204394593819117E-2</v>
      </c>
      <c r="I14" s="72">
        <f t="shared" si="2"/>
        <v>-5.6876716782499698E-2</v>
      </c>
      <c r="J14" s="86"/>
      <c r="K14" s="86"/>
      <c r="L14" s="86"/>
      <c r="M14" s="86"/>
      <c r="N14" s="86"/>
      <c r="O14" s="86"/>
      <c r="P14" s="86"/>
    </row>
    <row r="15" spans="1:16" x14ac:dyDescent="0.25">
      <c r="A15" s="71">
        <v>2023</v>
      </c>
      <c r="B15" s="72">
        <v>3.5000000000000003E-2</v>
      </c>
      <c r="C15" s="75">
        <v>7892682.6839500004</v>
      </c>
      <c r="D15" s="72">
        <v>3.4218840372183326E-2</v>
      </c>
      <c r="E15" s="76">
        <v>7722541.430000118</v>
      </c>
      <c r="F15" s="75">
        <f t="shared" si="0"/>
        <v>-170141.25394988246</v>
      </c>
      <c r="G15" s="21"/>
      <c r="H15" s="77">
        <f t="shared" si="1"/>
        <v>-2.2318846509047915E-2</v>
      </c>
      <c r="I15" s="77">
        <f t="shared" si="2"/>
        <v>-2.1556834445640344E-2</v>
      </c>
      <c r="J15" s="86"/>
      <c r="K15" s="86"/>
      <c r="L15" s="86"/>
      <c r="M15" s="86"/>
      <c r="N15" s="86"/>
      <c r="O15" s="86"/>
      <c r="P15" s="86"/>
    </row>
    <row r="16" spans="1:16" x14ac:dyDescent="0.25">
      <c r="A16" s="20"/>
      <c r="B16" s="20" t="s">
        <v>91</v>
      </c>
      <c r="C16" s="65">
        <f>SUM(C5:C15)</f>
        <v>61434927.43395</v>
      </c>
      <c r="D16" s="20"/>
      <c r="E16" s="66">
        <f>SUM(E5:E15)</f>
        <v>59643715.660000198</v>
      </c>
      <c r="F16" s="65">
        <f>SUM(F5:F15)</f>
        <v>-1791211.7739498005</v>
      </c>
      <c r="G16" s="21"/>
      <c r="H16" s="21"/>
      <c r="I16" s="21"/>
      <c r="J16" s="86"/>
      <c r="K16" s="86"/>
      <c r="L16" s="86"/>
      <c r="M16" s="86"/>
      <c r="N16" s="86"/>
      <c r="O16" s="86"/>
      <c r="P16" s="86"/>
    </row>
    <row r="17" spans="1:16" x14ac:dyDescent="0.25">
      <c r="A17" s="21"/>
      <c r="B17" s="21"/>
      <c r="C17" s="65"/>
      <c r="D17" s="20"/>
      <c r="E17" s="78"/>
      <c r="F17" s="79"/>
      <c r="G17" s="21"/>
      <c r="H17" s="21"/>
      <c r="I17" s="21"/>
      <c r="J17" s="86"/>
      <c r="K17" s="86"/>
      <c r="L17" s="86"/>
      <c r="M17" s="86"/>
      <c r="N17" s="86"/>
      <c r="O17" s="86"/>
      <c r="P17" s="86"/>
    </row>
    <row r="18" spans="1:16" x14ac:dyDescent="0.25">
      <c r="A18" s="21"/>
      <c r="B18" s="80"/>
      <c r="C18" s="81"/>
      <c r="D18" s="21"/>
      <c r="E18" s="78"/>
      <c r="F18" s="82" t="s">
        <v>92</v>
      </c>
      <c r="G18" s="21"/>
      <c r="H18" s="83">
        <f>AVERAGE(H5:H15)</f>
        <v>-3.8900305046218046E-2</v>
      </c>
      <c r="I18" s="83">
        <f>AVERAGE(I5:I15)</f>
        <v>-2.8022170419313472E-2</v>
      </c>
      <c r="J18" s="86"/>
      <c r="K18" s="86"/>
      <c r="L18" s="86"/>
      <c r="M18" s="86"/>
      <c r="N18" s="86"/>
      <c r="O18" s="86"/>
      <c r="P18" s="86"/>
    </row>
    <row r="19" spans="1:16" x14ac:dyDescent="0.25">
      <c r="C19" s="84"/>
      <c r="E19" s="87"/>
      <c r="F19" s="82" t="s">
        <v>93</v>
      </c>
      <c r="H19" s="83">
        <f>$B$15*(1+H18)</f>
        <v>3.363848932338237E-2</v>
      </c>
      <c r="I19" s="83">
        <f>$B$15*(1+I18)</f>
        <v>3.4019224035324036E-2</v>
      </c>
      <c r="J19" s="86"/>
      <c r="K19" s="86"/>
      <c r="L19" s="86"/>
      <c r="M19" s="86"/>
      <c r="N19" s="86"/>
      <c r="O19" s="86"/>
      <c r="P19" s="86"/>
    </row>
    <row r="20" spans="1:16" x14ac:dyDescent="0.25">
      <c r="C20" s="84"/>
      <c r="E20" s="87"/>
      <c r="F20" s="88"/>
      <c r="J20" s="86"/>
      <c r="K20" s="86"/>
      <c r="L20" s="86"/>
      <c r="M20" s="86"/>
      <c r="N20" s="86"/>
      <c r="O20" s="86"/>
      <c r="P20" s="86"/>
    </row>
    <row r="21" spans="1:16" s="21" customFormat="1" ht="12.75" x14ac:dyDescent="0.2">
      <c r="A21" s="21" t="s">
        <v>94</v>
      </c>
      <c r="C21" s="79"/>
      <c r="E21" s="78"/>
      <c r="F21" s="90"/>
      <c r="H21" s="90"/>
      <c r="I21" s="90"/>
      <c r="J21" s="17"/>
      <c r="K21" s="17"/>
      <c r="L21" s="17"/>
      <c r="M21" s="17"/>
      <c r="N21" s="17"/>
      <c r="O21" s="17"/>
      <c r="P21" s="17"/>
    </row>
    <row r="22" spans="1:16" x14ac:dyDescent="0.25">
      <c r="C22" s="84"/>
      <c r="E22" s="85"/>
      <c r="F22" s="84"/>
      <c r="I22" s="89"/>
      <c r="J22" s="86"/>
      <c r="K22" s="86"/>
      <c r="L22" s="86"/>
      <c r="M22" s="86"/>
      <c r="N22" s="86"/>
      <c r="O22" s="86"/>
      <c r="P22" s="86"/>
    </row>
    <row r="23" spans="1:16" x14ac:dyDescent="0.25">
      <c r="C23" s="84"/>
      <c r="E23" s="85"/>
      <c r="F23" s="84"/>
      <c r="J23" s="86"/>
      <c r="K23" s="86"/>
      <c r="L23" s="86"/>
      <c r="M23" s="86"/>
      <c r="N23" s="86"/>
      <c r="O23" s="86"/>
      <c r="P23" s="86"/>
    </row>
    <row r="24" spans="1:16" x14ac:dyDescent="0.25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63AA3-7B5A-414D-9000-CCDA011227E2}">
  <sheetPr>
    <tabColor theme="9" tint="0.39997558519241921"/>
  </sheetPr>
  <dimension ref="A1:D11"/>
  <sheetViews>
    <sheetView workbookViewId="0">
      <selection activeCell="F35" sqref="F35"/>
    </sheetView>
  </sheetViews>
  <sheetFormatPr defaultRowHeight="15" x14ac:dyDescent="0.25"/>
  <cols>
    <col min="1" max="1" width="18.85546875" bestFit="1" customWidth="1"/>
    <col min="2" max="2" width="22.42578125" bestFit="1" customWidth="1"/>
    <col min="3" max="3" width="21.140625" bestFit="1" customWidth="1"/>
    <col min="4" max="4" width="13.140625" bestFit="1" customWidth="1"/>
  </cols>
  <sheetData>
    <row r="1" spans="1:4" ht="15.75" x14ac:dyDescent="0.25">
      <c r="A1" s="63" t="s">
        <v>139</v>
      </c>
    </row>
    <row r="2" spans="1:4" ht="15.75" x14ac:dyDescent="0.25">
      <c r="A2" s="63"/>
    </row>
    <row r="3" spans="1:4" ht="15.75" x14ac:dyDescent="0.25">
      <c r="A3" s="92"/>
      <c r="B3" s="93" t="s">
        <v>96</v>
      </c>
      <c r="C3" s="93" t="s">
        <v>98</v>
      </c>
      <c r="D3" s="94" t="s">
        <v>99</v>
      </c>
    </row>
    <row r="4" spans="1:4" ht="15.75" x14ac:dyDescent="0.25">
      <c r="A4" s="92"/>
      <c r="B4" s="93" t="s">
        <v>97</v>
      </c>
      <c r="C4" s="93" t="s">
        <v>97</v>
      </c>
      <c r="D4" s="94"/>
    </row>
    <row r="5" spans="1:4" ht="15.75" x14ac:dyDescent="0.25">
      <c r="A5" s="10" t="s">
        <v>100</v>
      </c>
      <c r="B5" s="95" t="str">
        <f>"$"&amp;ROUND('SLC-4 8.11.1'!S26/1000000,1)&amp;" million"</f>
        <v>$2.3 million</v>
      </c>
      <c r="C5" s="95" t="str">
        <f>"$"&amp;ROUND('SLC-4 8.11.1'!U26/1000000,1)&amp;" million"</f>
        <v>$8.9 million</v>
      </c>
      <c r="D5" s="95" t="str">
        <f>"$"&amp;ROUND('SLC-4 8.11.1'!U27/1000000,1)&amp;" million"</f>
        <v>$6.6 million</v>
      </c>
    </row>
    <row r="6" spans="1:4" ht="15.75" x14ac:dyDescent="0.25">
      <c r="A6" s="10" t="s">
        <v>101</v>
      </c>
      <c r="B6" s="95" t="str">
        <f>"$"&amp;ROUND('SLC-4 8.12.1'!S27/1000000,1)&amp;" million"</f>
        <v>$37.7 million</v>
      </c>
      <c r="C6" s="95" t="str">
        <f>"$"&amp;ROUND('SLC-4 8.12.1'!U27/1000000,1)&amp;" million"</f>
        <v>$71.1 million</v>
      </c>
      <c r="D6" s="95" t="str">
        <f>"$"&amp;ROUND(('SLC-4 8.12.1'!U27-'SLC-4 8.12.1'!S27)/1000000,1)&amp;" million"</f>
        <v>$33.4 million</v>
      </c>
    </row>
    <row r="7" spans="1:4" ht="31.5" customHeight="1" x14ac:dyDescent="0.25">
      <c r="A7" s="10"/>
      <c r="B7" s="96" t="s">
        <v>102</v>
      </c>
      <c r="C7" s="96"/>
      <c r="D7" s="93" t="str">
        <f>"$"&amp;ROUND(('SLC-4 8.11.1'!U27+'SLC-4 8.12.1'!U28)/1000000,1)&amp;" million"</f>
        <v>$40 million</v>
      </c>
    </row>
    <row r="8" spans="1:4" ht="15.75" x14ac:dyDescent="0.25">
      <c r="A8" s="10"/>
      <c r="B8" s="95"/>
      <c r="C8" s="95"/>
      <c r="D8" s="95"/>
    </row>
    <row r="9" spans="1:4" ht="15.75" x14ac:dyDescent="0.25">
      <c r="A9" s="10" t="s">
        <v>103</v>
      </c>
      <c r="B9" s="95" t="str">
        <f>"$"&amp;ROUND('SLC-5 14.9.1'!S27/1000000,1)&amp;" million"</f>
        <v>$59 million</v>
      </c>
      <c r="C9" s="95" t="str">
        <f>"$"&amp;ROUND('SLC-5 14.9.1'!U27/1000000,1)&amp;" million"</f>
        <v>$70.1 million</v>
      </c>
      <c r="D9" s="95" t="str">
        <f>"$"&amp;ROUND('SLC-5 14.9.1'!U28/1000000,1)&amp;" million"</f>
        <v>$11.2 million</v>
      </c>
    </row>
    <row r="10" spans="1:4" ht="15.75" x14ac:dyDescent="0.25">
      <c r="A10" s="10" t="s">
        <v>104</v>
      </c>
      <c r="B10" s="95" t="str">
        <f>"$"&amp;ROUND('SLC-5 14.10.1'!S26/1000000,1)&amp;" million"</f>
        <v>$201.1 million</v>
      </c>
      <c r="C10" s="95" t="str">
        <f>"$"&amp;ROUND('SLC-5 14.10.1'!U26/1000000,1)&amp;" million"</f>
        <v>$201.2 million</v>
      </c>
      <c r="D10" s="95" t="str">
        <f>"$"&amp;ROUND('SLC-5 14.10.1'!U27/1000000,1)&amp;" million"</f>
        <v>$0.1 million</v>
      </c>
    </row>
    <row r="11" spans="1:4" ht="31.5" customHeight="1" x14ac:dyDescent="0.25">
      <c r="A11" s="10"/>
      <c r="B11" s="96" t="s">
        <v>105</v>
      </c>
      <c r="C11" s="96"/>
      <c r="D11" s="93" t="str">
        <f>"$"&amp;ROUND(('SLC-5 14.10.1'!U27+'SLC-5 14.9.1'!U28)/1000000,1)&amp;" million"</f>
        <v>$11.2 million</v>
      </c>
    </row>
  </sheetData>
  <mergeCells count="4">
    <mergeCell ref="A3:A4"/>
    <mergeCell ref="D3:D4"/>
    <mergeCell ref="B7:C7"/>
    <mergeCell ref="B11:C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3F7BC-E31E-4A40-A28E-8845211D9D0A}">
  <sheetPr>
    <pageSetUpPr fitToPage="1"/>
  </sheetPr>
  <dimension ref="A1:AD41"/>
  <sheetViews>
    <sheetView view="pageBreakPreview" topLeftCell="H1" zoomScale="90" zoomScaleNormal="100" zoomScaleSheetLayoutView="90" workbookViewId="0">
      <selection activeCell="O48" sqref="O48"/>
    </sheetView>
  </sheetViews>
  <sheetFormatPr defaultColWidth="9.140625" defaultRowHeight="12.75" x14ac:dyDescent="0.2"/>
  <cols>
    <col min="1" max="1" width="22.140625" style="97" customWidth="1"/>
    <col min="2" max="2" width="8.5703125" style="97" bestFit="1" customWidth="1"/>
    <col min="3" max="3" width="6.85546875" style="97" bestFit="1" customWidth="1"/>
    <col min="4" max="5" width="11.140625" style="97" bestFit="1" customWidth="1"/>
    <col min="6" max="7" width="13.28515625" style="97" bestFit="1" customWidth="1"/>
    <col min="8" max="10" width="12.140625" style="97" bestFit="1" customWidth="1"/>
    <col min="11" max="11" width="12.140625" style="97" customWidth="1"/>
    <col min="12" max="13" width="12.140625" style="97" bestFit="1" customWidth="1"/>
    <col min="14" max="14" width="15" style="97" bestFit="1" customWidth="1"/>
    <col min="15" max="18" width="15" style="97" customWidth="1"/>
    <col min="19" max="19" width="15" style="97" bestFit="1" customWidth="1"/>
    <col min="20" max="20" width="9.140625" style="97"/>
    <col min="21" max="21" width="15" style="97" bestFit="1" customWidth="1"/>
    <col min="22" max="22" width="13.28515625" style="97" bestFit="1" customWidth="1"/>
    <col min="23" max="16384" width="9.140625" style="97"/>
  </cols>
  <sheetData>
    <row r="1" spans="1:30" x14ac:dyDescent="0.2">
      <c r="A1" s="101" t="s">
        <v>188</v>
      </c>
      <c r="S1" s="100"/>
      <c r="U1" s="100"/>
      <c r="V1" s="100"/>
    </row>
    <row r="2" spans="1:30" x14ac:dyDescent="0.2">
      <c r="A2" s="101" t="s">
        <v>194</v>
      </c>
    </row>
    <row r="3" spans="1:30" x14ac:dyDescent="0.2">
      <c r="A3" s="101" t="s">
        <v>195</v>
      </c>
    </row>
    <row r="4" spans="1:30" x14ac:dyDescent="0.2">
      <c r="A4" s="101"/>
    </row>
    <row r="5" spans="1:30" x14ac:dyDescent="0.2">
      <c r="A5" s="101"/>
    </row>
    <row r="6" spans="1:30" x14ac:dyDescent="0.2">
      <c r="A6" s="101"/>
    </row>
    <row r="7" spans="1:30" x14ac:dyDescent="0.2">
      <c r="A7" s="101" t="s">
        <v>124</v>
      </c>
    </row>
    <row r="9" spans="1:30" x14ac:dyDescent="0.2">
      <c r="A9" s="126" t="s">
        <v>123</v>
      </c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</row>
    <row r="10" spans="1:30" x14ac:dyDescent="0.2"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0" t="s">
        <v>113</v>
      </c>
      <c r="U10" s="100" t="s">
        <v>113</v>
      </c>
      <c r="V10" s="100"/>
    </row>
    <row r="11" spans="1:30" x14ac:dyDescent="0.2">
      <c r="B11" s="101" t="s">
        <v>118</v>
      </c>
      <c r="C11" s="100" t="s">
        <v>117</v>
      </c>
      <c r="D11" s="125">
        <v>45261</v>
      </c>
      <c r="E11" s="125">
        <v>45292</v>
      </c>
      <c r="F11" s="125">
        <v>45323</v>
      </c>
      <c r="G11" s="125">
        <v>45352</v>
      </c>
      <c r="H11" s="125">
        <v>45383</v>
      </c>
      <c r="I11" s="125">
        <v>45413</v>
      </c>
      <c r="J11" s="125">
        <v>45444</v>
      </c>
      <c r="K11" s="125">
        <v>45474</v>
      </c>
      <c r="L11" s="125">
        <v>45505</v>
      </c>
      <c r="M11" s="125">
        <v>45536</v>
      </c>
      <c r="N11" s="125">
        <v>45566</v>
      </c>
      <c r="O11" s="125">
        <v>45597</v>
      </c>
      <c r="P11" s="125">
        <v>45627</v>
      </c>
      <c r="Q11" s="125">
        <v>45658</v>
      </c>
      <c r="R11" s="125">
        <v>45689</v>
      </c>
      <c r="S11" s="125">
        <v>45627</v>
      </c>
      <c r="T11" s="124"/>
      <c r="U11" s="125">
        <v>45689</v>
      </c>
      <c r="V11" s="124"/>
      <c r="W11" s="124"/>
      <c r="X11" s="124"/>
      <c r="Y11" s="124"/>
      <c r="Z11" s="124"/>
      <c r="AA11" s="124"/>
      <c r="AB11" s="124"/>
      <c r="AC11" s="124"/>
      <c r="AD11" s="124"/>
    </row>
    <row r="12" spans="1:30" x14ac:dyDescent="0.2">
      <c r="A12" s="97" t="s">
        <v>116</v>
      </c>
      <c r="B12" s="122">
        <v>355</v>
      </c>
      <c r="C12" s="122" t="s">
        <v>115</v>
      </c>
      <c r="D12" s="113">
        <v>4763214.7299999986</v>
      </c>
      <c r="E12" s="113">
        <v>4763214.7299999986</v>
      </c>
      <c r="F12" s="113">
        <v>4763214.7299999986</v>
      </c>
      <c r="G12" s="113">
        <v>4763214.7299999986</v>
      </c>
      <c r="H12" s="113">
        <v>39139292.2960684</v>
      </c>
      <c r="I12" s="113">
        <v>39460611.343268402</v>
      </c>
      <c r="J12" s="113">
        <v>39566557.143268399</v>
      </c>
      <c r="K12" s="113">
        <v>39672502.943268396</v>
      </c>
      <c r="L12" s="113">
        <v>39778448.743268393</v>
      </c>
      <c r="M12" s="113">
        <v>39884394.54326839</v>
      </c>
      <c r="N12" s="113">
        <v>2080986487.4536784</v>
      </c>
      <c r="O12" s="113">
        <v>2083431882.7460783</v>
      </c>
      <c r="P12" s="113">
        <v>2515344883.6322432</v>
      </c>
      <c r="Q12" s="113">
        <f>P12</f>
        <v>2515344883.6322432</v>
      </c>
      <c r="R12" s="113">
        <f>Q12</f>
        <v>2515344883.6322432</v>
      </c>
      <c r="S12" s="102">
        <f>(((D12+P12)+(SUM(E12:O12)*2))/24)</f>
        <v>473021989.2152741</v>
      </c>
      <c r="U12" s="102">
        <f>(((F12+R12)+(SUM(G12:Q12)*2))/24)</f>
        <v>891452267.36564791</v>
      </c>
      <c r="V12" s="102"/>
    </row>
    <row r="14" spans="1:30" x14ac:dyDescent="0.2">
      <c r="A14" s="126" t="s">
        <v>122</v>
      </c>
    </row>
    <row r="15" spans="1:30" x14ac:dyDescent="0.2">
      <c r="B15" s="101" t="s">
        <v>118</v>
      </c>
      <c r="C15" s="100" t="s">
        <v>117</v>
      </c>
      <c r="D15" s="124"/>
      <c r="E15" s="125">
        <v>45292</v>
      </c>
      <c r="F15" s="125">
        <v>45323</v>
      </c>
      <c r="G15" s="125">
        <v>45352</v>
      </c>
      <c r="H15" s="125">
        <v>45383</v>
      </c>
      <c r="I15" s="125">
        <v>45413</v>
      </c>
      <c r="J15" s="125">
        <v>45444</v>
      </c>
      <c r="K15" s="125">
        <v>45474</v>
      </c>
      <c r="L15" s="125">
        <v>45505</v>
      </c>
      <c r="M15" s="125">
        <v>45536</v>
      </c>
      <c r="N15" s="125">
        <v>45566</v>
      </c>
      <c r="O15" s="125">
        <v>45597</v>
      </c>
      <c r="P15" s="125">
        <v>45627</v>
      </c>
      <c r="Q15" s="125">
        <v>45658</v>
      </c>
      <c r="R15" s="125">
        <v>45689</v>
      </c>
      <c r="S15" s="125" t="s">
        <v>121</v>
      </c>
      <c r="T15" s="124"/>
      <c r="U15" s="125" t="s">
        <v>120</v>
      </c>
      <c r="V15" s="124"/>
      <c r="W15" s="124"/>
      <c r="X15" s="124"/>
      <c r="Y15" s="124"/>
      <c r="Z15" s="124"/>
      <c r="AA15" s="124"/>
      <c r="AB15" s="124"/>
      <c r="AC15" s="124"/>
      <c r="AD15" s="124"/>
    </row>
    <row r="16" spans="1:30" x14ac:dyDescent="0.2">
      <c r="A16" s="123" t="s">
        <v>116</v>
      </c>
      <c r="B16" s="122" t="s">
        <v>109</v>
      </c>
      <c r="C16" s="122" t="s">
        <v>115</v>
      </c>
      <c r="D16" s="102"/>
      <c r="E16" s="102">
        <f>(((D12+E12)/2)*$D$34)/12</f>
        <v>6803.016009396204</v>
      </c>
      <c r="F16" s="102">
        <f>(((E12+F12)/2)*$D$34)/12</f>
        <v>6803.016009396204</v>
      </c>
      <c r="G16" s="102">
        <f>(((F12+G12)/2)*$D$34)/12</f>
        <v>6803.016009396204</v>
      </c>
      <c r="H16" s="102">
        <f>(((G12+H12)/2)*$D$34)/12</f>
        <v>31351.668471911693</v>
      </c>
      <c r="I16" s="102">
        <f>(((H12+I12)/2)*$D$34)/12</f>
        <v>56129.781366733318</v>
      </c>
      <c r="J16" s="102">
        <f>(((I12+J12)/2)*$D$34)/12</f>
        <v>56434.899838240264</v>
      </c>
      <c r="K16" s="102">
        <f>(((J12+K12)/2)*$D$34)/12</f>
        <v>56586.215916641842</v>
      </c>
      <c r="L16" s="102">
        <f>(((K12+L12)/2)*$D$34)/12</f>
        <v>56737.531995043428</v>
      </c>
      <c r="M16" s="102">
        <f>(((L12+M12)/2)*$D$34)/12</f>
        <v>56888.84807344502</v>
      </c>
      <c r="N16" s="102">
        <f>(((M12+N12)/2)*$D$34)/12</f>
        <v>1514556.8047997158</v>
      </c>
      <c r="O16" s="102">
        <f>(((N12+O12)/2)*$D$34)/12</f>
        <v>2973895.4097386035</v>
      </c>
      <c r="P16" s="102">
        <f>(((O12+P12)/2)*$D$34)/12</f>
        <v>3284079.5280828164</v>
      </c>
      <c r="Q16" s="102">
        <f>(((P12+Q12)/2)*$D$34)/12</f>
        <v>3592517.3401752114</v>
      </c>
      <c r="R16" s="102">
        <f>(((Q12+R12)/2)*$D$34)/12</f>
        <v>3592517.3401752114</v>
      </c>
      <c r="S16" s="102">
        <f>SUM(E16:P16)</f>
        <v>8107069.7363113388</v>
      </c>
      <c r="U16" s="102">
        <f>SUM(F16:Q16)</f>
        <v>11692784.060477154</v>
      </c>
      <c r="V16" s="102"/>
    </row>
    <row r="17" spans="1:30" x14ac:dyDescent="0.2">
      <c r="A17" s="101"/>
    </row>
    <row r="18" spans="1:30" x14ac:dyDescent="0.2">
      <c r="A18" s="126"/>
    </row>
    <row r="19" spans="1:30" x14ac:dyDescent="0.2">
      <c r="A19" s="126" t="s">
        <v>119</v>
      </c>
      <c r="B19" s="101"/>
      <c r="C19" s="100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00" t="s">
        <v>113</v>
      </c>
      <c r="U19" s="100" t="s">
        <v>113</v>
      </c>
      <c r="V19" s="100"/>
    </row>
    <row r="20" spans="1:30" x14ac:dyDescent="0.2">
      <c r="B20" s="101" t="s">
        <v>118</v>
      </c>
      <c r="C20" s="100" t="s">
        <v>117</v>
      </c>
      <c r="D20" s="125">
        <v>45261</v>
      </c>
      <c r="E20" s="125">
        <v>45292</v>
      </c>
      <c r="F20" s="125">
        <v>45323</v>
      </c>
      <c r="G20" s="125">
        <v>45352</v>
      </c>
      <c r="H20" s="125">
        <v>45383</v>
      </c>
      <c r="I20" s="125">
        <v>45413</v>
      </c>
      <c r="J20" s="125">
        <v>45444</v>
      </c>
      <c r="K20" s="125">
        <v>45474</v>
      </c>
      <c r="L20" s="125">
        <v>45505</v>
      </c>
      <c r="M20" s="125">
        <v>45536</v>
      </c>
      <c r="N20" s="125">
        <v>45566</v>
      </c>
      <c r="O20" s="125">
        <v>45597</v>
      </c>
      <c r="P20" s="125">
        <v>45627</v>
      </c>
      <c r="Q20" s="125">
        <v>45658</v>
      </c>
      <c r="R20" s="125">
        <v>45689</v>
      </c>
      <c r="S20" s="125">
        <v>45627</v>
      </c>
      <c r="T20" s="124"/>
      <c r="U20" s="125">
        <v>45689</v>
      </c>
      <c r="V20" s="124"/>
      <c r="W20" s="124"/>
      <c r="X20" s="124"/>
      <c r="Y20" s="124"/>
      <c r="Z20" s="124"/>
      <c r="AA20" s="124"/>
      <c r="AB20" s="124"/>
      <c r="AC20" s="124"/>
      <c r="AD20" s="124"/>
    </row>
    <row r="21" spans="1:30" x14ac:dyDescent="0.2">
      <c r="A21" s="123" t="s">
        <v>116</v>
      </c>
      <c r="B21" s="122" t="s">
        <v>108</v>
      </c>
      <c r="C21" s="122" t="s">
        <v>115</v>
      </c>
      <c r="D21" s="102">
        <v>-85224.326741917277</v>
      </c>
      <c r="E21" s="102">
        <f>D21-E16</f>
        <v>-92027.342751313481</v>
      </c>
      <c r="F21" s="102">
        <f>E21-F16</f>
        <v>-98830.358760709685</v>
      </c>
      <c r="G21" s="102">
        <f>F21-G16</f>
        <v>-105633.37477010589</v>
      </c>
      <c r="H21" s="102">
        <f>G21-H16</f>
        <v>-136985.04324201759</v>
      </c>
      <c r="I21" s="102">
        <f>H21-I16</f>
        <v>-193114.8246087509</v>
      </c>
      <c r="J21" s="102">
        <f>I21-J16</f>
        <v>-249549.72444699117</v>
      </c>
      <c r="K21" s="102">
        <f>J21-K16</f>
        <v>-306135.94036363298</v>
      </c>
      <c r="L21" s="102">
        <f>K21-L16</f>
        <v>-362873.47235867643</v>
      </c>
      <c r="M21" s="102">
        <f>L21-M16</f>
        <v>-419762.32043212146</v>
      </c>
      <c r="N21" s="102">
        <f>M21-N16</f>
        <v>-1934319.1252318372</v>
      </c>
      <c r="O21" s="102">
        <f>N21-O16</f>
        <v>-4908214.5349704409</v>
      </c>
      <c r="P21" s="102">
        <f>O21-P16</f>
        <v>-8192294.0630532578</v>
      </c>
      <c r="Q21" s="102">
        <f>P21-Q16</f>
        <v>-11784811.403228469</v>
      </c>
      <c r="R21" s="102">
        <f>Q21-R16</f>
        <v>-15377328.743403681</v>
      </c>
      <c r="S21" s="102">
        <f>(((D21+P21)+(SUM(E21:O21)*2))/24)</f>
        <v>-1078850.4380695156</v>
      </c>
      <c r="U21" s="102">
        <f>(((F21+R21)+(SUM(G21:Q21)*2))/24)</f>
        <v>-3027647.7814823748</v>
      </c>
      <c r="V21" s="102"/>
    </row>
    <row r="22" spans="1:30" x14ac:dyDescent="0.2">
      <c r="A22" s="121"/>
    </row>
    <row r="23" spans="1:30" ht="13.5" thickBot="1" x14ac:dyDescent="0.25"/>
    <row r="24" spans="1:30" x14ac:dyDescent="0.2">
      <c r="D24" s="120"/>
      <c r="E24" s="119" t="s">
        <v>114</v>
      </c>
      <c r="F24" s="119" t="s">
        <v>113</v>
      </c>
      <c r="G24" s="118"/>
    </row>
    <row r="25" spans="1:30" x14ac:dyDescent="0.2">
      <c r="D25" s="117"/>
      <c r="E25" s="116" t="s">
        <v>112</v>
      </c>
      <c r="F25" s="116" t="s">
        <v>111</v>
      </c>
      <c r="G25" s="115" t="s">
        <v>110</v>
      </c>
    </row>
    <row r="26" spans="1:30" x14ac:dyDescent="0.2">
      <c r="A26" s="99"/>
      <c r="C26" s="110"/>
      <c r="D26" s="112">
        <v>355</v>
      </c>
      <c r="E26" s="102">
        <v>0</v>
      </c>
      <c r="F26" s="102">
        <f>+S12</f>
        <v>473021989.2152741</v>
      </c>
      <c r="G26" s="111">
        <f>F26-E26</f>
        <v>473021989.2152741</v>
      </c>
      <c r="H26" s="101" t="s">
        <v>107</v>
      </c>
    </row>
    <row r="27" spans="1:30" x14ac:dyDescent="0.2">
      <c r="A27" s="99"/>
      <c r="C27" s="110"/>
      <c r="D27" s="112"/>
      <c r="E27" s="102"/>
      <c r="F27" s="102"/>
      <c r="G27" s="111"/>
      <c r="H27" s="101"/>
      <c r="S27" s="105">
        <v>37741371.808252543</v>
      </c>
      <c r="U27" s="105">
        <v>71126992.484581679</v>
      </c>
      <c r="V27" s="105"/>
    </row>
    <row r="28" spans="1:30" x14ac:dyDescent="0.2">
      <c r="A28" s="99"/>
      <c r="C28" s="110"/>
      <c r="D28" s="114" t="s">
        <v>109</v>
      </c>
      <c r="E28" s="102">
        <v>0</v>
      </c>
      <c r="F28" s="102">
        <f>S16</f>
        <v>8107069.7363113388</v>
      </c>
      <c r="G28" s="111">
        <f>F28-E28</f>
        <v>8107069.7363113388</v>
      </c>
      <c r="H28" s="101" t="s">
        <v>107</v>
      </c>
      <c r="I28" s="113"/>
      <c r="J28" s="102"/>
      <c r="U28" s="105">
        <f>U27-S27</f>
        <v>33385620.676329136</v>
      </c>
    </row>
    <row r="29" spans="1:30" x14ac:dyDescent="0.2">
      <c r="A29" s="99"/>
      <c r="C29" s="110"/>
      <c r="D29" s="112"/>
      <c r="E29" s="102"/>
      <c r="F29" s="102"/>
      <c r="G29" s="111"/>
      <c r="H29" s="101"/>
    </row>
    <row r="30" spans="1:30" ht="13.5" thickBot="1" x14ac:dyDescent="0.25">
      <c r="A30" s="99"/>
      <c r="C30" s="110"/>
      <c r="D30" s="109" t="s">
        <v>108</v>
      </c>
      <c r="E30" s="108">
        <v>0</v>
      </c>
      <c r="F30" s="108">
        <f>S21</f>
        <v>-1078850.4380695156</v>
      </c>
      <c r="G30" s="107">
        <f>F30-E30</f>
        <v>-1078850.4380695156</v>
      </c>
      <c r="H30" s="101" t="s">
        <v>107</v>
      </c>
    </row>
    <row r="32" spans="1:30" x14ac:dyDescent="0.2">
      <c r="G32" s="106"/>
      <c r="H32" s="106"/>
      <c r="U32" s="105"/>
      <c r="V32" s="105"/>
    </row>
    <row r="33" spans="1:9" x14ac:dyDescent="0.2">
      <c r="D33" s="104"/>
      <c r="E33" s="100"/>
      <c r="F33" s="100"/>
      <c r="G33" s="100"/>
      <c r="H33" s="100"/>
    </row>
    <row r="34" spans="1:9" x14ac:dyDescent="0.2">
      <c r="A34" s="97" t="s">
        <v>106</v>
      </c>
      <c r="D34" s="104">
        <v>1.7138885551093868E-2</v>
      </c>
      <c r="E34" s="100"/>
      <c r="F34" s="100"/>
      <c r="G34" s="100"/>
      <c r="H34" s="100"/>
    </row>
    <row r="35" spans="1:9" x14ac:dyDescent="0.2">
      <c r="E35" s="100"/>
      <c r="F35" s="100"/>
      <c r="G35" s="100"/>
      <c r="H35" s="100"/>
    </row>
    <row r="36" spans="1:9" x14ac:dyDescent="0.2">
      <c r="E36" s="102"/>
      <c r="F36" s="103"/>
      <c r="G36" s="102"/>
      <c r="H36" s="102"/>
      <c r="I36" s="101"/>
    </row>
    <row r="37" spans="1:9" x14ac:dyDescent="0.2">
      <c r="E37" s="102"/>
      <c r="F37" s="103"/>
      <c r="G37" s="102"/>
      <c r="H37" s="102"/>
      <c r="I37" s="101"/>
    </row>
    <row r="38" spans="1:9" x14ac:dyDescent="0.2">
      <c r="E38" s="101"/>
      <c r="F38" s="100"/>
    </row>
    <row r="40" spans="1:9" x14ac:dyDescent="0.2">
      <c r="A40" s="99"/>
      <c r="D40" s="98"/>
    </row>
    <row r="41" spans="1:9" x14ac:dyDescent="0.2">
      <c r="A41" s="99"/>
      <c r="D41" s="98"/>
    </row>
  </sheetData>
  <pageMargins left="0.7" right="0.7" top="0.75" bottom="0.75" header="0.3" footer="0.3"/>
  <pageSetup scale="45" fitToHeight="0" orientation="landscape" r:id="rId1"/>
  <headerFooter>
    <oddFooter>&amp;C&amp;"Arial,Regular"&amp;10Page 8.12.1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E77A9-A838-4887-9024-CD3561808516}">
  <sheetPr>
    <pageSetUpPr fitToPage="1"/>
  </sheetPr>
  <dimension ref="A1:AD40"/>
  <sheetViews>
    <sheetView view="pageBreakPreview" zoomScale="90" zoomScaleNormal="100" zoomScaleSheetLayoutView="90" workbookViewId="0">
      <selection activeCell="G42" sqref="G42"/>
    </sheetView>
  </sheetViews>
  <sheetFormatPr defaultColWidth="9.140625" defaultRowHeight="12.75" x14ac:dyDescent="0.2"/>
  <cols>
    <col min="1" max="1" width="18.42578125" style="97" customWidth="1"/>
    <col min="2" max="2" width="8.5703125" style="97" bestFit="1" customWidth="1"/>
    <col min="3" max="3" width="6.85546875" style="97" bestFit="1" customWidth="1"/>
    <col min="4" max="4" width="15" style="97" customWidth="1"/>
    <col min="5" max="5" width="15.7109375" style="97" bestFit="1" customWidth="1"/>
    <col min="6" max="6" width="15.28515625" style="97" bestFit="1" customWidth="1"/>
    <col min="7" max="7" width="16.140625" style="97" customWidth="1"/>
    <col min="8" max="15" width="15" style="97" bestFit="1" customWidth="1"/>
    <col min="16" max="19" width="15" style="97" customWidth="1"/>
    <col min="20" max="20" width="9.140625" style="97"/>
    <col min="21" max="22" width="15" style="97" customWidth="1"/>
    <col min="23" max="16384" width="9.140625" style="97"/>
  </cols>
  <sheetData>
    <row r="1" spans="1:30" x14ac:dyDescent="0.2">
      <c r="A1" s="101" t="s">
        <v>188</v>
      </c>
      <c r="S1" s="100"/>
      <c r="U1" s="100"/>
      <c r="V1" s="100"/>
    </row>
    <row r="2" spans="1:30" x14ac:dyDescent="0.2">
      <c r="A2" s="101" t="s">
        <v>194</v>
      </c>
    </row>
    <row r="3" spans="1:30" x14ac:dyDescent="0.2">
      <c r="A3" s="101" t="s">
        <v>196</v>
      </c>
    </row>
    <row r="4" spans="1:30" x14ac:dyDescent="0.2">
      <c r="A4" s="101"/>
    </row>
    <row r="5" spans="1:30" x14ac:dyDescent="0.2">
      <c r="A5" s="101"/>
    </row>
    <row r="6" spans="1:30" x14ac:dyDescent="0.2">
      <c r="A6" s="101"/>
    </row>
    <row r="7" spans="1:30" x14ac:dyDescent="0.2">
      <c r="A7" s="101" t="s">
        <v>128</v>
      </c>
    </row>
    <row r="9" spans="1:30" x14ac:dyDescent="0.2">
      <c r="A9" s="126" t="s">
        <v>123</v>
      </c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</row>
    <row r="10" spans="1:30" x14ac:dyDescent="0.2"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0" t="s">
        <v>113</v>
      </c>
      <c r="U10" s="100" t="s">
        <v>113</v>
      </c>
      <c r="V10" s="100"/>
    </row>
    <row r="11" spans="1:30" x14ac:dyDescent="0.2">
      <c r="B11" s="101" t="s">
        <v>118</v>
      </c>
      <c r="C11" s="100" t="s">
        <v>117</v>
      </c>
      <c r="D11" s="125">
        <v>45627</v>
      </c>
      <c r="E11" s="125">
        <v>45658</v>
      </c>
      <c r="F11" s="125">
        <v>45689</v>
      </c>
      <c r="G11" s="125">
        <v>45717</v>
      </c>
      <c r="H11" s="125">
        <v>45748</v>
      </c>
      <c r="I11" s="125">
        <v>45778</v>
      </c>
      <c r="J11" s="125">
        <v>45809</v>
      </c>
      <c r="K11" s="125">
        <v>45839</v>
      </c>
      <c r="L11" s="125">
        <v>45870</v>
      </c>
      <c r="M11" s="125">
        <v>45901</v>
      </c>
      <c r="N11" s="125">
        <v>45931</v>
      </c>
      <c r="O11" s="125">
        <v>45962</v>
      </c>
      <c r="P11" s="125">
        <v>45992</v>
      </c>
      <c r="Q11" s="125">
        <v>46023</v>
      </c>
      <c r="R11" s="125">
        <v>46054</v>
      </c>
      <c r="S11" s="125">
        <v>45992</v>
      </c>
      <c r="T11" s="124"/>
      <c r="U11" s="125">
        <f>R11</f>
        <v>46054</v>
      </c>
      <c r="V11" s="124"/>
      <c r="W11" s="124"/>
      <c r="X11" s="124"/>
      <c r="Y11" s="124"/>
      <c r="Z11" s="124"/>
      <c r="AA11" s="124"/>
      <c r="AB11" s="124"/>
      <c r="AC11" s="124"/>
      <c r="AD11" s="124"/>
    </row>
    <row r="12" spans="1:30" x14ac:dyDescent="0.2">
      <c r="A12" s="97" t="s">
        <v>116</v>
      </c>
      <c r="B12" s="122">
        <v>355</v>
      </c>
      <c r="C12" s="122" t="s">
        <v>115</v>
      </c>
      <c r="D12" s="113">
        <v>2515344883.6322432</v>
      </c>
      <c r="E12" s="113">
        <v>2516540736.513021</v>
      </c>
      <c r="F12" s="113">
        <v>2517736589.3637991</v>
      </c>
      <c r="G12" s="113">
        <v>2518932442.1945772</v>
      </c>
      <c r="H12" s="113">
        <v>2519780043.7452512</v>
      </c>
      <c r="I12" s="113">
        <v>2520627645.2959251</v>
      </c>
      <c r="J12" s="113">
        <v>2521475246.8465991</v>
      </c>
      <c r="K12" s="113">
        <v>2522016080.3965993</v>
      </c>
      <c r="L12" s="113">
        <v>2522556913.9465995</v>
      </c>
      <c r="M12" s="113">
        <v>2523097747.4965997</v>
      </c>
      <c r="N12" s="113">
        <v>2523097747.4965997</v>
      </c>
      <c r="O12" s="113">
        <v>2523097747.4965997</v>
      </c>
      <c r="P12" s="113">
        <v>2523097747.4965997</v>
      </c>
      <c r="Q12" s="113">
        <v>2523097747.4965997</v>
      </c>
      <c r="R12" s="113">
        <v>2523097747.4965997</v>
      </c>
      <c r="S12" s="102">
        <f>(((D12+P12)+(SUM(E12:O12)*2))/24)</f>
        <v>2520681688.0297165</v>
      </c>
      <c r="U12" s="102">
        <f>(((F12+R12)+(SUM(G12:Q12)*2))/24)</f>
        <v>2521774523.1948962</v>
      </c>
      <c r="V12" s="102"/>
    </row>
    <row r="14" spans="1:30" x14ac:dyDescent="0.2">
      <c r="A14" s="126" t="s">
        <v>122</v>
      </c>
    </row>
    <row r="15" spans="1:30" x14ac:dyDescent="0.2">
      <c r="B15" s="101" t="s">
        <v>118</v>
      </c>
      <c r="C15" s="100" t="s">
        <v>117</v>
      </c>
      <c r="D15" s="124"/>
      <c r="E15" s="125">
        <v>45658</v>
      </c>
      <c r="F15" s="125">
        <v>45689</v>
      </c>
      <c r="G15" s="125">
        <v>45717</v>
      </c>
      <c r="H15" s="125">
        <v>45748</v>
      </c>
      <c r="I15" s="125">
        <v>45778</v>
      </c>
      <c r="J15" s="125">
        <v>45809</v>
      </c>
      <c r="K15" s="125">
        <v>45839</v>
      </c>
      <c r="L15" s="125">
        <v>45870</v>
      </c>
      <c r="M15" s="125">
        <v>45901</v>
      </c>
      <c r="N15" s="125">
        <v>45931</v>
      </c>
      <c r="O15" s="125">
        <v>45962</v>
      </c>
      <c r="P15" s="125">
        <v>45992</v>
      </c>
      <c r="Q15" s="125">
        <v>45992</v>
      </c>
      <c r="R15" s="125">
        <v>45992</v>
      </c>
      <c r="S15" s="125" t="s">
        <v>120</v>
      </c>
      <c r="T15" s="124"/>
      <c r="U15" s="125" t="s">
        <v>127</v>
      </c>
      <c r="V15" s="124"/>
      <c r="W15" s="124"/>
      <c r="X15" s="124"/>
      <c r="Y15" s="124"/>
      <c r="Z15" s="124"/>
      <c r="AA15" s="124"/>
      <c r="AB15" s="124"/>
      <c r="AC15" s="124"/>
      <c r="AD15" s="124"/>
    </row>
    <row r="16" spans="1:30" x14ac:dyDescent="0.2">
      <c r="A16" s="123" t="s">
        <v>116</v>
      </c>
      <c r="B16" s="122" t="s">
        <v>109</v>
      </c>
      <c r="C16" s="122" t="s">
        <v>115</v>
      </c>
      <c r="D16" s="102"/>
      <c r="E16" s="102">
        <f>(((D12+E12)/2)*$D$33)/12</f>
        <v>3593371.3229110278</v>
      </c>
      <c r="F16" s="102">
        <f>(((E12+F12)/2)*$D$33)/12</f>
        <v>3595079.2883612379</v>
      </c>
      <c r="G16" s="102">
        <f>(((F12+G12)/2)*$D$33)/12</f>
        <v>3596787.2537757419</v>
      </c>
      <c r="H16" s="102">
        <f>(((G12+H12)/2)*$D$33)/12</f>
        <v>3598246.5258912668</v>
      </c>
      <c r="I16" s="102">
        <f>(((H12+I12)/2)*$D$33)/12</f>
        <v>3599457.1047220933</v>
      </c>
      <c r="J16" s="102">
        <f>(((I12+J12)/2)*$D$33)/12</f>
        <v>3600667.6835529213</v>
      </c>
      <c r="K16" s="102">
        <f>(((J12+K12)/2)*$D$33)/12</f>
        <v>3601659.1931481534</v>
      </c>
      <c r="L16" s="102">
        <f>(((K12+L12)/2)*$D$33)/12</f>
        <v>3602431.6335077905</v>
      </c>
      <c r="M16" s="102">
        <f>(((L12+M12)/2)*$D$33)/12</f>
        <v>3603204.0738674277</v>
      </c>
      <c r="N16" s="102">
        <f>(((M12+N12)/2)*$D$33)/12</f>
        <v>3603590.2940472462</v>
      </c>
      <c r="O16" s="102">
        <f>(((N12+O12)/2)*$D$33)/12</f>
        <v>3603590.2940472462</v>
      </c>
      <c r="P16" s="102">
        <f>(((O12+P12)/2)*$D$33)/12</f>
        <v>3603590.2940472462</v>
      </c>
      <c r="Q16" s="102">
        <f>(((P12+Q12)/2)*$D$33)/12</f>
        <v>3603590.2940472462</v>
      </c>
      <c r="R16" s="102">
        <f>(((Q12+R12)/2)*$D$33)/12</f>
        <v>3603590.2940472462</v>
      </c>
      <c r="S16" s="102">
        <f>SUM(E16:P16)</f>
        <v>43201674.961879395</v>
      </c>
      <c r="U16" s="102">
        <f>SUM(G16:R16)</f>
        <v>43220404.93870163</v>
      </c>
      <c r="V16" s="102"/>
    </row>
    <row r="17" spans="1:30" x14ac:dyDescent="0.2">
      <c r="A17" s="101"/>
    </row>
    <row r="18" spans="1:30" x14ac:dyDescent="0.2">
      <c r="A18" s="126"/>
    </row>
    <row r="19" spans="1:30" x14ac:dyDescent="0.2">
      <c r="A19" s="126" t="s">
        <v>119</v>
      </c>
      <c r="B19" s="101"/>
      <c r="C19" s="100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00" t="s">
        <v>113</v>
      </c>
      <c r="U19" s="100" t="s">
        <v>113</v>
      </c>
      <c r="V19" s="100"/>
    </row>
    <row r="20" spans="1:30" x14ac:dyDescent="0.2">
      <c r="B20" s="101" t="s">
        <v>118</v>
      </c>
      <c r="C20" s="100" t="s">
        <v>117</v>
      </c>
      <c r="D20" s="125">
        <v>45627</v>
      </c>
      <c r="E20" s="125">
        <v>45658</v>
      </c>
      <c r="F20" s="125">
        <v>45689</v>
      </c>
      <c r="G20" s="125">
        <v>45717</v>
      </c>
      <c r="H20" s="125">
        <v>45748</v>
      </c>
      <c r="I20" s="125">
        <v>45778</v>
      </c>
      <c r="J20" s="125">
        <v>45809</v>
      </c>
      <c r="K20" s="125">
        <v>45839</v>
      </c>
      <c r="L20" s="125">
        <v>45870</v>
      </c>
      <c r="M20" s="125">
        <v>45901</v>
      </c>
      <c r="N20" s="125">
        <v>45931</v>
      </c>
      <c r="O20" s="125">
        <v>45962</v>
      </c>
      <c r="P20" s="125">
        <v>45992</v>
      </c>
      <c r="Q20" s="125">
        <v>46023</v>
      </c>
      <c r="R20" s="125">
        <v>46054</v>
      </c>
      <c r="S20" s="125">
        <v>45992</v>
      </c>
      <c r="T20" s="124"/>
      <c r="U20" s="125">
        <f>R20</f>
        <v>46054</v>
      </c>
      <c r="V20" s="124"/>
      <c r="W20" s="124"/>
      <c r="X20" s="124"/>
      <c r="Y20" s="124"/>
      <c r="Z20" s="124"/>
      <c r="AA20" s="124"/>
      <c r="AB20" s="124"/>
      <c r="AC20" s="124"/>
      <c r="AD20" s="124"/>
    </row>
    <row r="21" spans="1:30" x14ac:dyDescent="0.2">
      <c r="A21" s="123" t="s">
        <v>116</v>
      </c>
      <c r="B21" s="122" t="s">
        <v>108</v>
      </c>
      <c r="C21" s="122" t="s">
        <v>115</v>
      </c>
      <c r="D21" s="102">
        <v>-8192294.0630532568</v>
      </c>
      <c r="E21" s="102">
        <f>D21-E16</f>
        <v>-11785665.385964286</v>
      </c>
      <c r="F21" s="102">
        <f>E21-F16</f>
        <v>-15380744.674325524</v>
      </c>
      <c r="G21" s="102">
        <f>F21-G16</f>
        <v>-18977531.928101264</v>
      </c>
      <c r="H21" s="102">
        <f>G21-H16</f>
        <v>-22575778.453992531</v>
      </c>
      <c r="I21" s="102">
        <f>H21-I16</f>
        <v>-26175235.558714624</v>
      </c>
      <c r="J21" s="102">
        <f>I21-J16</f>
        <v>-29775903.242267545</v>
      </c>
      <c r="K21" s="102">
        <f>J21-K16</f>
        <v>-33377562.4354157</v>
      </c>
      <c r="L21" s="102">
        <f>K21-L16</f>
        <v>-36979994.068923488</v>
      </c>
      <c r="M21" s="102">
        <f>L21-M16</f>
        <v>-40583198.142790914</v>
      </c>
      <c r="N21" s="102">
        <f>M21-N16</f>
        <v>-44186788.436838157</v>
      </c>
      <c r="O21" s="102">
        <f>N21-O16</f>
        <v>-47790378.730885401</v>
      </c>
      <c r="P21" s="102">
        <f>O21-P16</f>
        <v>-51393969.024932645</v>
      </c>
      <c r="Q21" s="102">
        <f>P21-Q16</f>
        <v>-54997559.318979889</v>
      </c>
      <c r="R21" s="102">
        <f>Q21-R16</f>
        <v>-58601149.613027133</v>
      </c>
      <c r="S21" s="102">
        <f>(((D21+P21)+(SUM(E21:O21)*2))/24)</f>
        <v>-29781826.050184365</v>
      </c>
      <c r="U21" s="102">
        <f>(((F21+R21)+(SUM(G21:Q21)*2))/24)</f>
        <v>-36983737.207126543</v>
      </c>
      <c r="V21" s="102"/>
    </row>
    <row r="22" spans="1:30" x14ac:dyDescent="0.2">
      <c r="A22" s="121"/>
    </row>
    <row r="23" spans="1:30" ht="13.5" thickBot="1" x14ac:dyDescent="0.25"/>
    <row r="24" spans="1:30" x14ac:dyDescent="0.2">
      <c r="D24" s="120"/>
      <c r="E24" s="119" t="s">
        <v>113</v>
      </c>
      <c r="F24" s="119" t="s">
        <v>113</v>
      </c>
      <c r="G24" s="118"/>
    </row>
    <row r="25" spans="1:30" x14ac:dyDescent="0.2">
      <c r="D25" s="117"/>
      <c r="E25" s="116" t="s">
        <v>111</v>
      </c>
      <c r="F25" s="116" t="s">
        <v>126</v>
      </c>
      <c r="G25" s="115" t="s">
        <v>110</v>
      </c>
    </row>
    <row r="26" spans="1:30" x14ac:dyDescent="0.2">
      <c r="A26" s="99"/>
      <c r="C26" s="110"/>
      <c r="D26" s="112">
        <v>355</v>
      </c>
      <c r="E26" s="102">
        <v>473021989.2152741</v>
      </c>
      <c r="F26" s="102">
        <f>+S12</f>
        <v>2520681688.0297165</v>
      </c>
      <c r="G26" s="111">
        <f>F26-E26</f>
        <v>2047659698.8144424</v>
      </c>
      <c r="H26" s="101" t="s">
        <v>125</v>
      </c>
      <c r="S26" s="113">
        <v>201119582.10654631</v>
      </c>
      <c r="T26" s="113"/>
      <c r="U26" s="113">
        <v>201206776.99226949</v>
      </c>
    </row>
    <row r="27" spans="1:30" x14ac:dyDescent="0.2">
      <c r="A27" s="99"/>
      <c r="C27" s="110"/>
      <c r="D27" s="112"/>
      <c r="E27" s="102"/>
      <c r="F27" s="102"/>
      <c r="G27" s="111"/>
      <c r="H27" s="101"/>
      <c r="U27" s="102">
        <f>U26-S26</f>
        <v>87194.885723173618</v>
      </c>
    </row>
    <row r="28" spans="1:30" x14ac:dyDescent="0.2">
      <c r="A28" s="99"/>
      <c r="C28" s="110"/>
      <c r="D28" s="114" t="s">
        <v>109</v>
      </c>
      <c r="E28" s="102">
        <v>8107069.7363113388</v>
      </c>
      <c r="F28" s="102">
        <f>S16</f>
        <v>43201674.961879395</v>
      </c>
      <c r="G28" s="111">
        <f>F28-E28</f>
        <v>35094605.225568056</v>
      </c>
      <c r="H28" s="101" t="s">
        <v>125</v>
      </c>
      <c r="I28" s="113"/>
      <c r="J28" s="102"/>
    </row>
    <row r="29" spans="1:30" x14ac:dyDescent="0.2">
      <c r="A29" s="99"/>
      <c r="C29" s="110"/>
      <c r="D29" s="112"/>
      <c r="E29" s="102"/>
      <c r="F29" s="102"/>
      <c r="G29" s="111"/>
      <c r="H29" s="101"/>
    </row>
    <row r="30" spans="1:30" ht="13.5" thickBot="1" x14ac:dyDescent="0.25">
      <c r="A30" s="99"/>
      <c r="C30" s="110"/>
      <c r="D30" s="109" t="s">
        <v>108</v>
      </c>
      <c r="E30" s="108">
        <v>-1078850.4380695152</v>
      </c>
      <c r="F30" s="108">
        <f>S21</f>
        <v>-29781826.050184365</v>
      </c>
      <c r="G30" s="107">
        <f>F30-E30</f>
        <v>-28702975.61211485</v>
      </c>
      <c r="H30" s="101" t="s">
        <v>125</v>
      </c>
    </row>
    <row r="32" spans="1:30" x14ac:dyDescent="0.2">
      <c r="G32" s="106"/>
      <c r="H32" s="106"/>
    </row>
    <row r="33" spans="1:9" x14ac:dyDescent="0.2">
      <c r="A33" s="97" t="s">
        <v>106</v>
      </c>
      <c r="D33" s="104">
        <v>1.7138885551093868E-2</v>
      </c>
      <c r="E33" s="100"/>
      <c r="F33" s="100"/>
      <c r="G33" s="100"/>
      <c r="H33" s="100"/>
    </row>
    <row r="34" spans="1:9" x14ac:dyDescent="0.2">
      <c r="E34" s="100"/>
      <c r="F34" s="100"/>
      <c r="G34" s="100"/>
      <c r="H34" s="100"/>
    </row>
    <row r="35" spans="1:9" x14ac:dyDescent="0.2">
      <c r="E35" s="102"/>
      <c r="F35" s="103"/>
      <c r="G35" s="102"/>
      <c r="H35" s="102"/>
      <c r="I35" s="101"/>
    </row>
    <row r="36" spans="1:9" x14ac:dyDescent="0.2">
      <c r="E36" s="102"/>
      <c r="F36" s="103"/>
      <c r="G36" s="102"/>
      <c r="H36" s="102"/>
      <c r="I36" s="101"/>
    </row>
    <row r="37" spans="1:9" x14ac:dyDescent="0.2">
      <c r="E37" s="101"/>
      <c r="F37" s="100"/>
    </row>
    <row r="39" spans="1:9" x14ac:dyDescent="0.2">
      <c r="A39" s="99"/>
      <c r="D39" s="98"/>
    </row>
    <row r="40" spans="1:9" x14ac:dyDescent="0.2">
      <c r="A40" s="99"/>
      <c r="D40" s="98"/>
    </row>
  </sheetData>
  <pageMargins left="0.7" right="0.7" top="0.75" bottom="0.75" header="0.3" footer="0.3"/>
  <pageSetup scale="41" fitToHeight="0" orientation="landscape" r:id="rId1"/>
  <headerFooter>
    <oddFooter>&amp;C&amp;"Arial,Regular"&amp;10Page 14.10.1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F1044-4694-432A-996F-27EEB912C400}">
  <sheetPr>
    <pageSetUpPr fitToPage="1"/>
  </sheetPr>
  <dimension ref="A1:AD41"/>
  <sheetViews>
    <sheetView view="pageBreakPreview" topLeftCell="A2" zoomScale="90" zoomScaleNormal="100" zoomScaleSheetLayoutView="90" workbookViewId="0">
      <selection activeCell="U27" sqref="U27"/>
    </sheetView>
  </sheetViews>
  <sheetFormatPr defaultColWidth="9.140625" defaultRowHeight="12.75" x14ac:dyDescent="0.2"/>
  <cols>
    <col min="1" max="1" width="22.28515625" style="97" customWidth="1"/>
    <col min="2" max="2" width="8.5703125" style="97" bestFit="1" customWidth="1"/>
    <col min="3" max="3" width="26.140625" style="97" customWidth="1"/>
    <col min="4" max="4" width="13.28515625" style="97" customWidth="1"/>
    <col min="5" max="5" width="11.7109375" style="97" customWidth="1"/>
    <col min="6" max="6" width="12.140625" style="97" customWidth="1"/>
    <col min="7" max="7" width="12.140625" style="97" bestFit="1" customWidth="1"/>
    <col min="8" max="14" width="11.7109375" style="97" customWidth="1"/>
    <col min="15" max="15" width="13" style="97" customWidth="1"/>
    <col min="16" max="18" width="13.140625" style="97" customWidth="1"/>
    <col min="19" max="19" width="12.5703125" style="97" customWidth="1"/>
    <col min="20" max="20" width="9.140625" style="97"/>
    <col min="21" max="21" width="12.5703125" style="97" bestFit="1" customWidth="1"/>
    <col min="22" max="22" width="14.140625" style="97" bestFit="1" customWidth="1"/>
    <col min="23" max="16384" width="9.140625" style="97"/>
  </cols>
  <sheetData>
    <row r="1" spans="1:30" x14ac:dyDescent="0.2">
      <c r="A1" s="101" t="s">
        <v>188</v>
      </c>
    </row>
    <row r="2" spans="1:30" x14ac:dyDescent="0.2">
      <c r="A2" s="101" t="s">
        <v>194</v>
      </c>
    </row>
    <row r="3" spans="1:30" x14ac:dyDescent="0.2">
      <c r="A3" s="101" t="s">
        <v>197</v>
      </c>
    </row>
    <row r="4" spans="1:30" x14ac:dyDescent="0.2">
      <c r="A4" s="101"/>
    </row>
    <row r="5" spans="1:30" x14ac:dyDescent="0.2">
      <c r="A5" s="101"/>
    </row>
    <row r="6" spans="1:30" x14ac:dyDescent="0.2">
      <c r="A6" s="101"/>
    </row>
    <row r="7" spans="1:30" x14ac:dyDescent="0.2">
      <c r="A7" s="101" t="s">
        <v>128</v>
      </c>
    </row>
    <row r="9" spans="1:30" x14ac:dyDescent="0.2">
      <c r="A9" s="126" t="s">
        <v>123</v>
      </c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</row>
    <row r="10" spans="1:30" x14ac:dyDescent="0.2"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0" t="s">
        <v>113</v>
      </c>
      <c r="U10" s="100" t="s">
        <v>113</v>
      </c>
      <c r="V10" s="100"/>
    </row>
    <row r="11" spans="1:30" x14ac:dyDescent="0.2">
      <c r="B11" s="101" t="s">
        <v>118</v>
      </c>
      <c r="C11" s="100" t="s">
        <v>117</v>
      </c>
      <c r="D11" s="125">
        <v>45261</v>
      </c>
      <c r="E11" s="125">
        <v>45292</v>
      </c>
      <c r="F11" s="125">
        <v>45323</v>
      </c>
      <c r="G11" s="125">
        <v>45352</v>
      </c>
      <c r="H11" s="125">
        <v>45383</v>
      </c>
      <c r="I11" s="125">
        <v>45413</v>
      </c>
      <c r="J11" s="125">
        <v>45444</v>
      </c>
      <c r="K11" s="125">
        <v>45474</v>
      </c>
      <c r="L11" s="125">
        <v>45505</v>
      </c>
      <c r="M11" s="125">
        <v>45536</v>
      </c>
      <c r="N11" s="125">
        <v>45566</v>
      </c>
      <c r="O11" s="125">
        <v>45597</v>
      </c>
      <c r="P11" s="125">
        <v>45627</v>
      </c>
      <c r="Q11" s="125">
        <v>45658</v>
      </c>
      <c r="R11" s="125">
        <v>45689</v>
      </c>
      <c r="S11" s="125">
        <v>45627</v>
      </c>
      <c r="T11" s="124"/>
      <c r="U11" s="125">
        <v>45716</v>
      </c>
      <c r="V11" s="124"/>
      <c r="W11" s="124"/>
      <c r="X11" s="124"/>
      <c r="Y11" s="124"/>
      <c r="Z11" s="124"/>
      <c r="AA11" s="124"/>
      <c r="AB11" s="124"/>
      <c r="AC11" s="124"/>
      <c r="AD11" s="124"/>
    </row>
    <row r="12" spans="1:30" x14ac:dyDescent="0.2">
      <c r="A12" s="97" t="s">
        <v>134</v>
      </c>
      <c r="B12" s="122">
        <v>343</v>
      </c>
      <c r="C12" s="122" t="s">
        <v>133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102">
        <v>0</v>
      </c>
      <c r="L12" s="102">
        <v>0</v>
      </c>
      <c r="M12" s="102">
        <v>0</v>
      </c>
      <c r="N12" s="102">
        <v>0</v>
      </c>
      <c r="O12" s="102">
        <v>100792114.22</v>
      </c>
      <c r="P12" s="102">
        <v>496768948.22999847</v>
      </c>
      <c r="Q12" s="102">
        <v>496768949.22999799</v>
      </c>
      <c r="R12" s="102">
        <v>496768950.22999799</v>
      </c>
      <c r="S12" s="102">
        <f>(((D12+P12)+(SUM(E12:O12)*2))/24)</f>
        <v>29098049.027916599</v>
      </c>
      <c r="U12" s="102">
        <f>(((F12+R12)+(SUM(G12:Q12)*2))/24)</f>
        <v>111892873.89958297</v>
      </c>
      <c r="V12" s="102"/>
    </row>
    <row r="14" spans="1:30" x14ac:dyDescent="0.2">
      <c r="A14" s="126" t="s">
        <v>122</v>
      </c>
    </row>
    <row r="15" spans="1:30" x14ac:dyDescent="0.2">
      <c r="B15" s="101" t="s">
        <v>118</v>
      </c>
      <c r="C15" s="100" t="s">
        <v>117</v>
      </c>
      <c r="D15" s="124"/>
      <c r="E15" s="125">
        <v>45292</v>
      </c>
      <c r="F15" s="125">
        <v>45323</v>
      </c>
      <c r="G15" s="125">
        <v>45352</v>
      </c>
      <c r="H15" s="125">
        <v>45383</v>
      </c>
      <c r="I15" s="125">
        <v>45413</v>
      </c>
      <c r="J15" s="125">
        <v>45444</v>
      </c>
      <c r="K15" s="125">
        <v>45474</v>
      </c>
      <c r="L15" s="125">
        <v>45505</v>
      </c>
      <c r="M15" s="125">
        <v>45536</v>
      </c>
      <c r="N15" s="125">
        <v>45566</v>
      </c>
      <c r="O15" s="125">
        <v>45597</v>
      </c>
      <c r="P15" s="125">
        <v>45627</v>
      </c>
      <c r="Q15" s="125">
        <v>45658</v>
      </c>
      <c r="R15" s="125">
        <v>45689</v>
      </c>
      <c r="S15" s="125" t="s">
        <v>121</v>
      </c>
      <c r="T15" s="124"/>
      <c r="U15" s="125" t="s">
        <v>135</v>
      </c>
      <c r="V15" s="124"/>
      <c r="W15" s="124"/>
      <c r="X15" s="124"/>
      <c r="Y15" s="124"/>
      <c r="Z15" s="124"/>
      <c r="AA15" s="124"/>
      <c r="AB15" s="124"/>
      <c r="AC15" s="124"/>
      <c r="AD15" s="124"/>
    </row>
    <row r="16" spans="1:30" x14ac:dyDescent="0.2">
      <c r="A16" s="97" t="s">
        <v>134</v>
      </c>
      <c r="B16" s="128" t="s">
        <v>132</v>
      </c>
      <c r="C16" s="122" t="s">
        <v>133</v>
      </c>
      <c r="D16" s="102"/>
      <c r="E16" s="102">
        <f>(((D12+E12)/2)*$D$33)/12</f>
        <v>0</v>
      </c>
      <c r="F16" s="102">
        <f>(((E12+F12)/2)*$D$33)/12</f>
        <v>0</v>
      </c>
      <c r="G16" s="102">
        <f>(((F12+G12)/2)*$D$33)/12</f>
        <v>0</v>
      </c>
      <c r="H16" s="102">
        <f>(((G12+H12)/2)*$D$33)/12</f>
        <v>0</v>
      </c>
      <c r="I16" s="102">
        <f>(((H12+I12)/2)*$D$33)/12</f>
        <v>0</v>
      </c>
      <c r="J16" s="102">
        <f>(((I12+J12)/2)*$D$33)/12</f>
        <v>0</v>
      </c>
      <c r="K16" s="102">
        <f>(((J12+K12)/2)*$D$33)/12</f>
        <v>0</v>
      </c>
      <c r="L16" s="102">
        <f>(((K12+L12)/2)*$D$33)/12</f>
        <v>0</v>
      </c>
      <c r="M16" s="102">
        <f>(((L12+M12)/2)*$D$33)/12</f>
        <v>0</v>
      </c>
      <c r="N16" s="102">
        <f>(((M12+N12)/2)*$D$33)/12</f>
        <v>0</v>
      </c>
      <c r="O16" s="102">
        <f>(((N12+O12)/2)*$D$33)/12</f>
        <v>176749.11126556466</v>
      </c>
      <c r="P16" s="102">
        <f>(((O12+P12)/2)*$D$33)/12</f>
        <v>1047883.4334639459</v>
      </c>
      <c r="Q16" s="102">
        <f>(((P12+Q12)/2)*$D$33)/12</f>
        <v>1742268.646150362</v>
      </c>
      <c r="R16" s="102">
        <f>(((Q12+R12)/2)*$D$33)/12</f>
        <v>1742268.6496575624</v>
      </c>
      <c r="S16" s="102">
        <f>SUM(E16:P16)</f>
        <v>1224632.5447295106</v>
      </c>
      <c r="U16" s="102">
        <f>SUM(F16:Q16)</f>
        <v>2966901.1908798725</v>
      </c>
      <c r="V16" s="102"/>
    </row>
    <row r="17" spans="1:30" x14ac:dyDescent="0.2">
      <c r="A17" s="101"/>
    </row>
    <row r="18" spans="1:30" x14ac:dyDescent="0.2">
      <c r="A18" s="126"/>
    </row>
    <row r="19" spans="1:30" x14ac:dyDescent="0.2">
      <c r="A19" s="126" t="s">
        <v>119</v>
      </c>
      <c r="B19" s="101"/>
      <c r="C19" s="100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00" t="s">
        <v>113</v>
      </c>
      <c r="U19" s="100" t="s">
        <v>113</v>
      </c>
      <c r="V19" s="100"/>
    </row>
    <row r="20" spans="1:30" x14ac:dyDescent="0.2">
      <c r="B20" s="101" t="s">
        <v>118</v>
      </c>
      <c r="C20" s="100" t="s">
        <v>117</v>
      </c>
      <c r="D20" s="125">
        <v>45261</v>
      </c>
      <c r="E20" s="125">
        <v>45292</v>
      </c>
      <c r="F20" s="125">
        <v>45323</v>
      </c>
      <c r="G20" s="125">
        <v>45352</v>
      </c>
      <c r="H20" s="125">
        <v>45383</v>
      </c>
      <c r="I20" s="125">
        <v>45413</v>
      </c>
      <c r="J20" s="125">
        <v>45444</v>
      </c>
      <c r="K20" s="125">
        <v>45474</v>
      </c>
      <c r="L20" s="125">
        <v>45505</v>
      </c>
      <c r="M20" s="125">
        <v>45536</v>
      </c>
      <c r="N20" s="125">
        <v>45566</v>
      </c>
      <c r="O20" s="125">
        <v>45597</v>
      </c>
      <c r="P20" s="125">
        <v>45627</v>
      </c>
      <c r="Q20" s="125">
        <v>45658</v>
      </c>
      <c r="R20" s="125">
        <v>45689</v>
      </c>
      <c r="S20" s="125">
        <v>45627</v>
      </c>
      <c r="T20" s="124"/>
      <c r="U20" s="125">
        <v>45716</v>
      </c>
      <c r="V20" s="124"/>
      <c r="W20" s="124"/>
      <c r="X20" s="124"/>
      <c r="Y20" s="124"/>
      <c r="Z20" s="124"/>
      <c r="AA20" s="124"/>
      <c r="AB20" s="124"/>
      <c r="AC20" s="124"/>
      <c r="AD20" s="124"/>
    </row>
    <row r="21" spans="1:30" x14ac:dyDescent="0.2">
      <c r="A21" s="97" t="s">
        <v>134</v>
      </c>
      <c r="B21" s="128" t="s">
        <v>131</v>
      </c>
      <c r="C21" s="122" t="s">
        <v>133</v>
      </c>
      <c r="D21" s="102">
        <v>0</v>
      </c>
      <c r="E21" s="102">
        <f>D21-E16</f>
        <v>0</v>
      </c>
      <c r="F21" s="102">
        <f>E21-F16</f>
        <v>0</v>
      </c>
      <c r="G21" s="102">
        <f>F21-G16</f>
        <v>0</v>
      </c>
      <c r="H21" s="102">
        <f>G21-H16</f>
        <v>0</v>
      </c>
      <c r="I21" s="102">
        <f>H21-I16</f>
        <v>0</v>
      </c>
      <c r="J21" s="102">
        <f>I21-J16</f>
        <v>0</v>
      </c>
      <c r="K21" s="102">
        <f>J21-K16</f>
        <v>0</v>
      </c>
      <c r="L21" s="102">
        <f>K21-L16</f>
        <v>0</v>
      </c>
      <c r="M21" s="102">
        <f>L21-M16</f>
        <v>0</v>
      </c>
      <c r="N21" s="102">
        <f>M21-N16</f>
        <v>0</v>
      </c>
      <c r="O21" s="102">
        <f>N21-O16</f>
        <v>-176749.11126556466</v>
      </c>
      <c r="P21" s="102">
        <f>O21-P16</f>
        <v>-1224632.5447295106</v>
      </c>
      <c r="Q21" s="102">
        <f>P21-Q16</f>
        <v>-2966901.1908798725</v>
      </c>
      <c r="R21" s="102">
        <f>Q21-R16</f>
        <v>-4709169.8405374344</v>
      </c>
      <c r="S21" s="102">
        <f>(((D21+P21)+(SUM(E21:O21)*2))/24)</f>
        <v>-65755.448635859997</v>
      </c>
      <c r="U21" s="102">
        <f>(((F21+R21)+(SUM(G21:Q21)*2))/24)</f>
        <v>-560238.98059530545</v>
      </c>
      <c r="V21" s="102"/>
    </row>
    <row r="22" spans="1:30" x14ac:dyDescent="0.2">
      <c r="A22" s="121"/>
    </row>
    <row r="23" spans="1:30" ht="13.5" thickBot="1" x14ac:dyDescent="0.25"/>
    <row r="24" spans="1:30" x14ac:dyDescent="0.2">
      <c r="D24" s="120"/>
      <c r="E24" s="119" t="s">
        <v>114</v>
      </c>
      <c r="F24" s="119" t="s">
        <v>113</v>
      </c>
      <c r="G24" s="118"/>
    </row>
    <row r="25" spans="1:30" x14ac:dyDescent="0.2">
      <c r="D25" s="117"/>
      <c r="E25" s="116" t="s">
        <v>112</v>
      </c>
      <c r="F25" s="116" t="s">
        <v>111</v>
      </c>
      <c r="G25" s="115" t="s">
        <v>110</v>
      </c>
    </row>
    <row r="26" spans="1:30" x14ac:dyDescent="0.2">
      <c r="A26" s="99"/>
      <c r="C26" s="110"/>
      <c r="D26" s="112">
        <v>343</v>
      </c>
      <c r="E26" s="102">
        <v>0</v>
      </c>
      <c r="F26" s="102">
        <f>S12</f>
        <v>29098049.027916599</v>
      </c>
      <c r="G26" s="111">
        <f>F26-E26</f>
        <v>29098049.027916599</v>
      </c>
      <c r="H26" s="101" t="s">
        <v>130</v>
      </c>
      <c r="S26" s="113">
        <v>2321668.5741803152</v>
      </c>
      <c r="T26" s="113"/>
      <c r="U26" s="113">
        <v>8927683.3906682897</v>
      </c>
      <c r="V26" s="127"/>
    </row>
    <row r="27" spans="1:30" x14ac:dyDescent="0.2">
      <c r="A27" s="99"/>
      <c r="C27" s="110"/>
      <c r="D27" s="112"/>
      <c r="E27" s="102"/>
      <c r="F27" s="102"/>
      <c r="G27" s="111"/>
      <c r="H27" s="101"/>
      <c r="U27" s="102">
        <f>U26-S26</f>
        <v>6606014.8164879745</v>
      </c>
    </row>
    <row r="28" spans="1:30" x14ac:dyDescent="0.2">
      <c r="A28" s="99"/>
      <c r="C28" s="110"/>
      <c r="D28" s="114" t="s">
        <v>132</v>
      </c>
      <c r="E28" s="102">
        <v>0</v>
      </c>
      <c r="F28" s="102">
        <f>S16</f>
        <v>1224632.5447295106</v>
      </c>
      <c r="G28" s="111">
        <f>F28-E28</f>
        <v>1224632.5447295106</v>
      </c>
      <c r="H28" s="101" t="s">
        <v>130</v>
      </c>
      <c r="I28" s="113"/>
      <c r="J28" s="113"/>
      <c r="K28" s="113"/>
      <c r="L28" s="113"/>
      <c r="M28" s="113"/>
      <c r="N28" s="113"/>
    </row>
    <row r="29" spans="1:30" x14ac:dyDescent="0.2">
      <c r="A29" s="99"/>
      <c r="C29" s="110"/>
      <c r="D29" s="112"/>
      <c r="E29" s="102"/>
      <c r="F29" s="102"/>
      <c r="G29" s="111"/>
      <c r="H29" s="101"/>
    </row>
    <row r="30" spans="1:30" ht="13.5" thickBot="1" x14ac:dyDescent="0.25">
      <c r="A30" s="99"/>
      <c r="C30" s="110"/>
      <c r="D30" s="109" t="s">
        <v>131</v>
      </c>
      <c r="E30" s="108">
        <v>0</v>
      </c>
      <c r="F30" s="108">
        <f>S21</f>
        <v>-65755.448635859997</v>
      </c>
      <c r="G30" s="107">
        <f>F30-E30</f>
        <v>-65755.448635859997</v>
      </c>
      <c r="H30" s="101" t="s">
        <v>130</v>
      </c>
    </row>
    <row r="32" spans="1:30" x14ac:dyDescent="0.2">
      <c r="G32" s="106"/>
      <c r="H32" s="106"/>
    </row>
    <row r="33" spans="1:14" x14ac:dyDescent="0.2">
      <c r="A33" s="97" t="s">
        <v>129</v>
      </c>
      <c r="D33" s="104">
        <v>4.2086414231916398E-2</v>
      </c>
      <c r="E33" s="100"/>
      <c r="F33" s="100"/>
      <c r="G33" s="100"/>
      <c r="H33" s="100"/>
    </row>
    <row r="34" spans="1:14" x14ac:dyDescent="0.2">
      <c r="D34" s="104"/>
      <c r="E34" s="100"/>
      <c r="F34" s="100"/>
      <c r="G34" s="100"/>
      <c r="H34" s="100"/>
    </row>
    <row r="35" spans="1:14" x14ac:dyDescent="0.2">
      <c r="E35" s="100"/>
      <c r="F35" s="100"/>
      <c r="G35" s="100"/>
      <c r="H35" s="100"/>
    </row>
    <row r="36" spans="1:14" x14ac:dyDescent="0.2">
      <c r="E36" s="102"/>
      <c r="F36" s="103"/>
      <c r="G36" s="102"/>
      <c r="H36" s="102"/>
      <c r="I36" s="101"/>
      <c r="J36" s="101"/>
      <c r="K36" s="101"/>
      <c r="L36" s="101"/>
      <c r="M36" s="101"/>
      <c r="N36" s="101"/>
    </row>
    <row r="37" spans="1:14" x14ac:dyDescent="0.2">
      <c r="E37" s="102"/>
      <c r="F37" s="103"/>
      <c r="G37" s="102"/>
      <c r="H37" s="102"/>
      <c r="I37" s="101"/>
      <c r="J37" s="101"/>
      <c r="K37" s="101"/>
      <c r="L37" s="101"/>
      <c r="M37" s="101"/>
      <c r="N37" s="101"/>
    </row>
    <row r="38" spans="1:14" x14ac:dyDescent="0.2">
      <c r="E38" s="101"/>
      <c r="F38" s="100"/>
    </row>
    <row r="40" spans="1:14" x14ac:dyDescent="0.2">
      <c r="A40" s="99"/>
      <c r="D40" s="98"/>
    </row>
    <row r="41" spans="1:14" x14ac:dyDescent="0.2">
      <c r="A41" s="99"/>
      <c r="D41" s="98"/>
    </row>
  </sheetData>
  <pageMargins left="0.7" right="0.7" top="0.75" bottom="0.75" header="0.3" footer="0.3"/>
  <pageSetup scale="44" fitToHeight="0" orientation="landscape" r:id="rId1"/>
  <headerFooter>
    <oddFooter>&amp;C&amp;"Arial,Regular"&amp;10Page 8.11.1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16" ma:contentTypeDescription="" ma:contentTypeScope="" ma:versionID="ae5715f8294db817070352dee543cb6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2023-10-27T07:00:00+00:00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953EB82-95B4-4AE0-9298-6682E58FEA63}"/>
</file>

<file path=customXml/itemProps2.xml><?xml version="1.0" encoding="utf-8"?>
<ds:datastoreItem xmlns:ds="http://schemas.openxmlformats.org/officeDocument/2006/customXml" ds:itemID="{D4638E35-E003-4B57-8686-AD3F2F1E6F99}"/>
</file>

<file path=customXml/itemProps3.xml><?xml version="1.0" encoding="utf-8"?>
<ds:datastoreItem xmlns:ds="http://schemas.openxmlformats.org/officeDocument/2006/customXml" ds:itemID="{E5084E3B-3EFD-4A8D-869F-938993EAA2AD}"/>
</file>

<file path=customXml/itemProps4.xml><?xml version="1.0" encoding="utf-8"?>
<ds:datastoreItem xmlns:ds="http://schemas.openxmlformats.org/officeDocument/2006/customXml" ds:itemID="{E7D14842-2AFD-42E3-8573-D298DBD451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</vt:lpstr>
      <vt:lpstr>SLC-4 8.12.1</vt:lpstr>
      <vt:lpstr>SLC-5 14.10.1</vt:lpstr>
      <vt:lpstr>SLC-4 8.11.1</vt:lpstr>
      <vt:lpstr>SLC-5 14.9.1</vt:lpstr>
      <vt:lpstr>Table 7</vt:lpstr>
      <vt:lpstr>'Table 1'!_ftn1</vt:lpstr>
      <vt:lpstr>'Table 2'!_ftn1</vt:lpstr>
      <vt:lpstr>'Table 1'!Print_Area</vt:lpstr>
      <vt:lpstr>'Table 2'!Print_Area</vt:lpstr>
      <vt:lpstr>'Table 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Cheung, Sherona (PacifiCorp)</dc:creator>
  <cp:lastModifiedBy>Cheung, Sherona (PacifiCorp)</cp:lastModifiedBy>
  <dcterms:created xsi:type="dcterms:W3CDTF">2023-10-24T22:01:51Z</dcterms:created>
  <dcterms:modified xsi:type="dcterms:W3CDTF">2023-10-25T00:31:45Z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