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2120" windowHeight="3315" tabRatio="851" activeTab="0"/>
  </bookViews>
  <sheets>
    <sheet name="Cost of Cap. (page 1)" sheetId="1" r:id="rId1"/>
    <sheet name="CAP STRC CALC (page 2)" sheetId="2" r:id="rId2"/>
    <sheet name="Cost of Debt (page 3&amp;4) " sheetId="3" r:id="rId3"/>
    <sheet name="Proforma Cost of Debt (page 5)" sheetId="4" r:id="rId4"/>
    <sheet name="Conservation 1995 (page 6)" sheetId="5" r:id="rId5"/>
    <sheet name="Conservation 1997 (page 7)" sheetId="6" r:id="rId6"/>
    <sheet name="Reacquired Debt (page 8) " sheetId="7" r:id="rId7"/>
    <sheet name="LTD Retirement (page 9)" sheetId="8" r:id="rId8"/>
    <sheet name="Proforma LTD Retire (page 10)" sheetId="9" r:id="rId9"/>
    <sheet name="Cost STD (page 11)" sheetId="10" r:id="rId10"/>
    <sheet name="Cost of Preferred Stk (page 12)" sheetId="11" r:id="rId11"/>
    <sheet name=" Reacquired Pref Stk (page 13)" sheetId="12" r:id="rId12"/>
    <sheet name="Pref Stock Redemption (page 14)" sheetId="13" r:id="rId13"/>
  </sheets>
  <externalReferences>
    <externalReference r:id="rId16"/>
    <externalReference r:id="rId17"/>
    <externalReference r:id="rId18"/>
  </externalReferences>
  <definedNames>
    <definedName name="\A">'Cost of Cap. (page 1)'!$AB$2</definedName>
    <definedName name="\B" localSheetId="1">'Cost STD (page 11)'!$D$104</definedName>
    <definedName name="\B" localSheetId="10">'Cost STD (page 11)'!$D$104</definedName>
    <definedName name="\B" localSheetId="9">'Cost STD (page 11)'!$D$104</definedName>
    <definedName name="\B">#REF!</definedName>
    <definedName name="_C_._DOWN_TERM_" localSheetId="11">'[1]CST STD!'!#REF!</definedName>
    <definedName name="_C_._DOWN_TERM_" localSheetId="1">'Cost STD (page 11)'!#REF!</definedName>
    <definedName name="_C_._DOWN_TERM_" localSheetId="2">'[1]CST STD!'!#REF!</definedName>
    <definedName name="_C_._DOWN_TERM_" localSheetId="10">'Cost STD (page 11)'!#REF!</definedName>
    <definedName name="_C_._DOWN_TERM_" localSheetId="9">'Cost STD (page 11)'!#REF!</definedName>
    <definedName name="_C_._DOWN_TERM_" localSheetId="6">'[2]CST STD!'!#REF!</definedName>
    <definedName name="_C_._DOWN_TERM_">#REF!</definedName>
    <definedName name="_CALC_">'Cost of Cap. (page 1)'!$AC$2</definedName>
    <definedName name="_DOWN___COUPON_" localSheetId="11">'[1]CST STD!'!#REF!</definedName>
    <definedName name="_DOWN___COUPON_" localSheetId="1">'Cost STD (page 11)'!#REF!</definedName>
    <definedName name="_DOWN___COUPON_" localSheetId="2">'[1]CST STD!'!#REF!</definedName>
    <definedName name="_DOWN___COUPON_" localSheetId="10">'Cost STD (page 11)'!#REF!</definedName>
    <definedName name="_DOWN___COUPON_" localSheetId="9">'Cost STD (page 11)'!#REF!</definedName>
    <definedName name="_DOWN___COUPON_" localSheetId="6">'[2]CST STD!'!#REF!</definedName>
    <definedName name="_DOWN___COUPON_">#REF!</definedName>
    <definedName name="_END__DOWN__DOW" localSheetId="11">'[1]CST STD!'!#REF!</definedName>
    <definedName name="_END__DOWN__DOW" localSheetId="1">'Cost STD (page 11)'!#REF!</definedName>
    <definedName name="_END__DOWN__DOW" localSheetId="2">'[1]CST STD!'!#REF!</definedName>
    <definedName name="_END__DOWN__DOW" localSheetId="10">'Cost STD (page 11)'!#REF!</definedName>
    <definedName name="_END__DOWN__DOW" localSheetId="9">'Cost STD (page 11)'!#REF!</definedName>
    <definedName name="_END__DOWN__DOW" localSheetId="6">'[2]CST STD!'!#REF!</definedName>
    <definedName name="_END__DOWN__DOW">#REF!</definedName>
    <definedName name="_Fill" localSheetId="11" hidden="1">' Reacquired Pref Stk (page 13)'!$A$6:$A$22</definedName>
    <definedName name="_Fill" localSheetId="0" hidden="1">'Cost of Cap. (page 1)'!$B$1:$M$1</definedName>
    <definedName name="_Fill" localSheetId="2" hidden="1">'Cost of Debt (page 3&amp;4) '!$A$10:$A$82</definedName>
    <definedName name="_Fill" localSheetId="10" hidden="1">'Cost of Preferred Stk (page 12)'!$A$5:$A$44</definedName>
    <definedName name="_Fill" localSheetId="9" hidden="1">'Cost STD (page 11)'!$A$1:$A$31</definedName>
    <definedName name="_Fill" localSheetId="6" hidden="1">'Reacquired Debt (page 8) '!$A$5:$A$70</definedName>
    <definedName name="_GOTO_TABLE__PR" localSheetId="11">'[1]CST STD!'!#REF!</definedName>
    <definedName name="_GOTO_TABLE__PR" localSheetId="1">'Cost STD (page 11)'!#REF!</definedName>
    <definedName name="_GOTO_TABLE__PR" localSheetId="2">'[1]CST STD!'!#REF!</definedName>
    <definedName name="_GOTO_TABLE__PR" localSheetId="10">'Cost STD (page 11)'!#REF!</definedName>
    <definedName name="_GOTO_TABLE__PR" localSheetId="9">'Cost STD (page 11)'!#REF!</definedName>
    <definedName name="_GOTO_TABLE__PR" localSheetId="6">'[2]CST STD!'!#REF!</definedName>
    <definedName name="_GOTO_TABLE__PR">#REF!</definedName>
    <definedName name="_HOME__GOTO_YIE" localSheetId="11">'[1]CST STD!'!#REF!</definedName>
    <definedName name="_HOME__GOTO_YIE" localSheetId="1">'Cost STD (page 11)'!#REF!</definedName>
    <definedName name="_HOME__GOTO_YIE" localSheetId="2">'[1]CST STD!'!#REF!</definedName>
    <definedName name="_HOME__GOTO_YIE" localSheetId="10">'Cost STD (page 11)'!#REF!</definedName>
    <definedName name="_HOME__GOTO_YIE" localSheetId="9">'Cost STD (page 11)'!#REF!</definedName>
    <definedName name="_HOME__GOTO_YIE" localSheetId="6">'[2]CST STD!'!#REF!</definedName>
    <definedName name="_HOME__GOTO_YIE">#REF!</definedName>
    <definedName name="_LET_YIELD__IRR" localSheetId="11">'[1]CST STD!'!#REF!</definedName>
    <definedName name="_LET_YIELD__IRR" localSheetId="1">'Cost STD (page 11)'!#REF!</definedName>
    <definedName name="_LET_YIELD__IRR" localSheetId="2">'[1]CST STD!'!#REF!</definedName>
    <definedName name="_LET_YIELD__IRR" localSheetId="10">'Cost STD (page 11)'!#REF!</definedName>
    <definedName name="_LET_YIELD__IRR" localSheetId="9">'Cost STD (page 11)'!#REF!</definedName>
    <definedName name="_LET_YIELD__IRR" localSheetId="6">'[2]CST STD!'!#REF!</definedName>
    <definedName name="_LET_YIELD__IRR">#REF!</definedName>
    <definedName name="_PPRA1.H33_AGP">'Cost of Cap. (page 1)'!$AC$3</definedName>
    <definedName name="_RECASHFLOWS_" localSheetId="11">'[1]CST STD!'!#REF!</definedName>
    <definedName name="_RECASHFLOWS_" localSheetId="1">'Cost STD (page 11)'!#REF!</definedName>
    <definedName name="_RECASHFLOWS_" localSheetId="2">'[1]CST STD!'!#REF!</definedName>
    <definedName name="_RECASHFLOWS_" localSheetId="10">'Cost STD (page 11)'!#REF!</definedName>
    <definedName name="_RECASHFLOWS_" localSheetId="9">'Cost STD (page 11)'!#REF!</definedName>
    <definedName name="_RECASHFLOWS_" localSheetId="6">'[2]CST STD!'!#REF!</definedName>
    <definedName name="_RECASHFLOWS_">#REF!</definedName>
    <definedName name="_RNCCASHFLOWS__" localSheetId="11">'[1]CST STD!'!#REF!</definedName>
    <definedName name="_RNCCASHFLOWS__" localSheetId="1">'Cost STD (page 11)'!#REF!</definedName>
    <definedName name="_RNCCASHFLOWS__" localSheetId="2">'[1]CST STD!'!#REF!</definedName>
    <definedName name="_RNCCASHFLOWS__" localSheetId="10">'Cost STD (page 11)'!#REF!</definedName>
    <definedName name="_RNCCASHFLOWS__" localSheetId="9">'Cost STD (page 11)'!#REF!</definedName>
    <definedName name="_RNCCASHFLOWS__" localSheetId="6">'[2]CST STD!'!#REF!</definedName>
    <definedName name="_RNCCASHFLOWS__">#REF!</definedName>
    <definedName name="_WINDOWSOFF__PA" localSheetId="11">'[1]CST STD!'!#REF!</definedName>
    <definedName name="_WINDOWSOFF__PA" localSheetId="1">'Cost STD (page 11)'!#REF!</definedName>
    <definedName name="_WINDOWSOFF__PA" localSheetId="2">'[1]CST STD!'!#REF!</definedName>
    <definedName name="_WINDOWSOFF__PA" localSheetId="10">'Cost STD (page 11)'!#REF!</definedName>
    <definedName name="_WINDOWSOFF__PA" localSheetId="9">'Cost STD (page 11)'!#REF!</definedName>
    <definedName name="_WINDOWSOFF__PA" localSheetId="6">'[2]CST STD!'!#REF!</definedName>
    <definedName name="_WINDOWSOFF__PA">#REF!</definedName>
    <definedName name="a">'[3]STD Cost'!#REF!</definedName>
    <definedName name="CASHFLOWS" localSheetId="11">'[1]CST STD!'!#REF!</definedName>
    <definedName name="CASHFLOWS" localSheetId="1">'Cost STD (page 11)'!#REF!</definedName>
    <definedName name="CASHFLOWS" localSheetId="2">'[1]CST STD!'!#REF!</definedName>
    <definedName name="CASHFLOWS" localSheetId="10">'Cost STD (page 11)'!#REF!</definedName>
    <definedName name="CASHFLOWS" localSheetId="9">'Cost STD (page 11)'!#REF!</definedName>
    <definedName name="CASHFLOWS" localSheetId="6">'[2]CST STD!'!#REF!</definedName>
    <definedName name="CASHFLOWS">#REF!</definedName>
    <definedName name="COUPON" localSheetId="1">'Cost STD (page 11)'!$D$99</definedName>
    <definedName name="COUPON" localSheetId="10">'Cost STD (page 11)'!$D$99</definedName>
    <definedName name="COUPON" localSheetId="9">'Cost STD (page 11)'!$D$99</definedName>
    <definedName name="COUPON">#REF!</definedName>
    <definedName name="CRRA38.H65_GQ">'Cost of Cap. (page 1)'!$AC$4</definedName>
    <definedName name="FACE" localSheetId="1">'Cost STD (page 11)'!$D$98</definedName>
    <definedName name="FACE" localSheetId="10">'Cost STD (page 11)'!$D$98</definedName>
    <definedName name="FACE" localSheetId="9">'Cost STD (page 11)'!$D$98</definedName>
    <definedName name="FACE">#REF!</definedName>
    <definedName name="PRICE" localSheetId="1">'Cost STD (page 11)'!$D$101</definedName>
    <definedName name="PRICE" localSheetId="10">'Cost STD (page 11)'!$D$101</definedName>
    <definedName name="PRICE" localSheetId="9">'Cost STD (page 11)'!$D$101</definedName>
    <definedName name="PRICE">#REF!</definedName>
    <definedName name="_xlnm.Print_Area" localSheetId="11">' Reacquired Pref Stk (page 13)'!$A$1:$L$49</definedName>
    <definedName name="_xlnm.Print_Area" localSheetId="1">'CAP STRC CALC (page 2)'!$A$1:$M$31</definedName>
    <definedName name="_xlnm.Print_Area" localSheetId="4">'Conservation 1995 (page 6)'!$A$1:$I$54</definedName>
    <definedName name="_xlnm.Print_Area" localSheetId="5">'Conservation 1997 (page 7)'!$A$1:$H$37</definedName>
    <definedName name="_xlnm.Print_Area" localSheetId="0">'Cost of Cap. (page 1)'!$A$1:$G$39</definedName>
    <definedName name="_xlnm.Print_Area" localSheetId="2">'Cost of Debt (page 3&amp;4) '!$A$1:$K$82</definedName>
    <definedName name="_xlnm.Print_Area" localSheetId="10">'Cost of Preferred Stk (page 12)'!$A$1:$H$44</definedName>
    <definedName name="_xlnm.Print_Area" localSheetId="9">'Cost STD (page 11)'!$A$1:$F$47</definedName>
    <definedName name="_xlnm.Print_Area" localSheetId="12">'Pref Stock Redemption (page 14)'!$A$1:$M$31</definedName>
    <definedName name="_xlnm.Print_Area" localSheetId="3">'Proforma Cost of Debt (page 5)'!$A$1:$K$56</definedName>
    <definedName name="_xlnm.Print_Area" localSheetId="8">'Proforma LTD Retire (page 10)'!$A$1:$K$36</definedName>
    <definedName name="_xlnm.Print_Area" localSheetId="6">'Reacquired Debt (page 8) '!$A$1:$J$65</definedName>
    <definedName name="_xlnm.Print_Titles" localSheetId="2">'Cost of Debt (page 3&amp;4) '!$1:$6</definedName>
    <definedName name="TABLE" localSheetId="11">'[1]CST STD!'!#REF!</definedName>
    <definedName name="TABLE" localSheetId="1">'Cost STD (page 11)'!#REF!</definedName>
    <definedName name="TABLE" localSheetId="2">'[1]CST STD!'!#REF!</definedName>
    <definedName name="TABLE" localSheetId="10">'Cost STD (page 11)'!#REF!</definedName>
    <definedName name="TABLE" localSheetId="9">'Cost STD (page 11)'!#REF!</definedName>
    <definedName name="TABLE" localSheetId="6">'[2]CST STD!'!#REF!</definedName>
    <definedName name="TABLE">#REF!</definedName>
    <definedName name="TERM" localSheetId="1">'Cost STD (page 11)'!$D$100</definedName>
    <definedName name="TERM" localSheetId="10">'Cost STD (page 11)'!$D$100</definedName>
    <definedName name="TERM" localSheetId="9">'Cost STD (page 11)'!$D$100</definedName>
    <definedName name="TERM">#REF!</definedName>
    <definedName name="Total_Annual_Charge">'[3]BONDRATE'!#REF!</definedName>
    <definedName name="Total_OS_Amount">'[3]BONDRATE'!#REF!</definedName>
    <definedName name="YIELD" localSheetId="1">'Cost STD (page 11)'!$D$102</definedName>
    <definedName name="YIELD" localSheetId="10">'Cost STD (page 11)'!$D$102</definedName>
    <definedName name="YIELD" localSheetId="9">'Cost STD (page 11)'!$D$102</definedName>
    <definedName name="YIELD">#REF!</definedName>
  </definedNames>
  <calcPr fullCalcOnLoad="1"/>
</workbook>
</file>

<file path=xl/comments12.xml><?xml version="1.0" encoding="utf-8"?>
<comments xmlns="http://schemas.openxmlformats.org/spreadsheetml/2006/main">
  <authors>
    <author>A satisfied Microsoft Office user</author>
  </authors>
  <commentList>
    <comment ref="J22" authorId="0">
      <text>
        <r>
          <rPr>
            <sz val="8"/>
            <rFont val="Tahoma"/>
            <family val="0"/>
          </rPr>
          <t>This number is never greater than 12 months.  If fewer than 12 months remain for prorating, then use #/12. 
If proration just started, use # of months in YTD that were prorated.  This again should never be above 12 months.</t>
        </r>
      </text>
    </comment>
  </commentList>
</comments>
</file>

<file path=xl/sharedStrings.xml><?xml version="1.0" encoding="utf-8"?>
<sst xmlns="http://schemas.openxmlformats.org/spreadsheetml/2006/main" count="661" uniqueCount="285">
  <si>
    <t>PUGET SOUND ENERGY, INC.</t>
  </si>
  <si>
    <t xml:space="preserve"> </t>
  </si>
  <si>
    <t>(A)</t>
  </si>
  <si>
    <t>E</t>
  </si>
  <si>
    <t>MTN-A</t>
  </si>
  <si>
    <t>MTN-B</t>
  </si>
  <si>
    <t>G</t>
  </si>
  <si>
    <t>MTN-C</t>
  </si>
  <si>
    <t>FMB</t>
  </si>
  <si>
    <t>P</t>
  </si>
  <si>
    <t>E/G</t>
  </si>
  <si>
    <t>Annual Charge on Reacquired Debt (B)</t>
  </si>
  <si>
    <t>E - PUGET SOUND POWER &amp; LIGHT</t>
  </si>
  <si>
    <t>G - WASHINGTON NATURAL GAS</t>
  </si>
  <si>
    <t>P - PUGET SOUND ENERGY</t>
  </si>
  <si>
    <t>(B)</t>
  </si>
  <si>
    <t>DAYS</t>
  </si>
  <si>
    <t>MONTHS</t>
  </si>
  <si>
    <t>REMAINING</t>
  </si>
  <si>
    <t>VARIOUS</t>
  </si>
  <si>
    <t>PCB 82 SERIES</t>
  </si>
  <si>
    <t>PCB 86 SERIES</t>
  </si>
  <si>
    <t>PCB 87 SERIES</t>
  </si>
  <si>
    <t>9.375% PEI</t>
  </si>
  <si>
    <t>6.30% PCB</t>
  </si>
  <si>
    <t xml:space="preserve">4.84% Series </t>
  </si>
  <si>
    <t xml:space="preserve">4.70% Series </t>
  </si>
  <si>
    <t xml:space="preserve">7.75% Series </t>
  </si>
  <si>
    <t>7.45% Series II</t>
  </si>
  <si>
    <t>PUGET SOUND POWER &amp; LIGHT COMPANY</t>
  </si>
  <si>
    <t>COST OF PREFERRED STOCK</t>
  </si>
  <si>
    <t>Date</t>
  </si>
  <si>
    <t>Shares</t>
  </si>
  <si>
    <t>Issue</t>
  </si>
  <si>
    <t>Outstdg</t>
  </si>
  <si>
    <t>Undrwrtr</t>
  </si>
  <si>
    <t>Corp</t>
  </si>
  <si>
    <t>Net</t>
  </si>
  <si>
    <t>Cost</t>
  </si>
  <si>
    <t>Annual</t>
  </si>
  <si>
    <t>Par</t>
  </si>
  <si>
    <t>Issued</t>
  </si>
  <si>
    <t>Rate</t>
  </si>
  <si>
    <t>Amt</t>
  </si>
  <si>
    <t>Amt in MM's</t>
  </si>
  <si>
    <t>Premium</t>
  </si>
  <si>
    <t>Exp</t>
  </si>
  <si>
    <t>Proceeds</t>
  </si>
  <si>
    <t>Rate*</t>
  </si>
  <si>
    <t>---</t>
  </si>
  <si>
    <t>------</t>
  </si>
  <si>
    <t>-----</t>
  </si>
  <si>
    <t>----</t>
  </si>
  <si>
    <t>-------</t>
  </si>
  <si>
    <t>--------</t>
  </si>
  <si>
    <t>---------</t>
  </si>
  <si>
    <t>4.84% Series</t>
  </si>
  <si>
    <t>7.75% Series</t>
  </si>
  <si>
    <t>*Dividend rate/(net proceeds/issue amount)</t>
  </si>
  <si>
    <t xml:space="preserve">       PUGET SOUND ENERGY, INC</t>
  </si>
  <si>
    <t>Adj. Prfd.</t>
  </si>
  <si>
    <t>WNG Call Premium</t>
  </si>
  <si>
    <t>12/132</t>
  </si>
  <si>
    <t>($ thousands)</t>
  </si>
  <si>
    <t>73/120</t>
  </si>
  <si>
    <t>8.40% Capital Trust II</t>
  </si>
  <si>
    <t>PCB</t>
  </si>
  <si>
    <t>8.231% Capital Trust I</t>
  </si>
  <si>
    <t>Maturity</t>
  </si>
  <si>
    <t>Issue Amount/</t>
  </si>
  <si>
    <t>Amount</t>
  </si>
  <si>
    <t>Outsanding</t>
  </si>
  <si>
    <t xml:space="preserve">Cost </t>
  </si>
  <si>
    <t xml:space="preserve">Annual </t>
  </si>
  <si>
    <t>Charge</t>
  </si>
  <si>
    <t>Average Cost Rate</t>
  </si>
  <si>
    <t>Initial Bondable Investment Balance</t>
  </si>
  <si>
    <t>Transaction Costs</t>
  </si>
  <si>
    <t>Interest Coupon Rate</t>
  </si>
  <si>
    <t>Per</t>
  </si>
  <si>
    <t>Calculated YTM</t>
  </si>
  <si>
    <t>Qtr</t>
  </si>
  <si>
    <t>Qtr End</t>
  </si>
  <si>
    <t>Assumptions:</t>
  </si>
  <si>
    <t>Total</t>
  </si>
  <si>
    <t>Puget Sound Energy, Inc.</t>
  </si>
  <si>
    <t>Schedule of Annual Charges on Reacquired Debt</t>
  </si>
  <si>
    <t>Cause No.</t>
  </si>
  <si>
    <t>Reacquired First Mortgage Bonds, Pollution</t>
  </si>
  <si>
    <t>Control Bonds and Medium Term Notes</t>
  </si>
  <si>
    <t xml:space="preserve">Original </t>
  </si>
  <si>
    <t>Redemption</t>
  </si>
  <si>
    <t>Replacement</t>
  </si>
  <si>
    <t>Monthly</t>
  </si>
  <si>
    <t>Amortization</t>
  </si>
  <si>
    <t>Total Amortization on Reacquired Debt at June 30, 2001</t>
  </si>
  <si>
    <t>July 1, 2001 to September 30, 2003</t>
  </si>
  <si>
    <t>Pro Forma:</t>
  </si>
  <si>
    <t>Total Amortization on Reacquired Debt</t>
  </si>
  <si>
    <t>Cost Rate</t>
  </si>
  <si>
    <t>Annual Charges</t>
  </si>
  <si>
    <t>Rate Year</t>
  </si>
  <si>
    <t>Amount Outstanding (AMA)</t>
  </si>
  <si>
    <t>Principal Amount Outstanding</t>
  </si>
  <si>
    <t>Less:  Average Amount Outstanding</t>
  </si>
  <si>
    <t>Reduction to Amount Outstanding</t>
  </si>
  <si>
    <t>Annual Charge</t>
  </si>
  <si>
    <t>Reduction to Annual Charge</t>
  </si>
  <si>
    <t>Projected Cost of Debt with Embedded Costs</t>
  </si>
  <si>
    <t>As of June 30, 2001</t>
  </si>
  <si>
    <t>Series</t>
  </si>
  <si>
    <t>Issue Amount</t>
  </si>
  <si>
    <t>Outstanding</t>
  </si>
  <si>
    <t>Per $100</t>
  </si>
  <si>
    <t>Total First Mort. Bonds &amp; Med. Term Notes</t>
  </si>
  <si>
    <t>Other Long-Term Bonds</t>
  </si>
  <si>
    <t>Total Other Long-Term Bonds</t>
  </si>
  <si>
    <t>Total Long-Term Debt June 30, 2001</t>
  </si>
  <si>
    <t>Long Term Debt Retirements</t>
  </si>
  <si>
    <t>Less:  Annual Charge on Avg. Amount O/S.</t>
  </si>
  <si>
    <t>Retirement Date</t>
  </si>
  <si>
    <t>From July 1, 2001 Through September 30, 2003</t>
  </si>
  <si>
    <t>Long-Term Debt Redeemed After the Test Year</t>
  </si>
  <si>
    <t>Total Debt</t>
  </si>
  <si>
    <t>Cost of Short-Term Debt</t>
  </si>
  <si>
    <t xml:space="preserve">Amount </t>
  </si>
  <si>
    <t xml:space="preserve">Interest </t>
  </si>
  <si>
    <t>Description</t>
  </si>
  <si>
    <t>Total Short-Term Debt/Cost</t>
  </si>
  <si>
    <t>Short-Term Debt Rate Calculation:</t>
  </si>
  <si>
    <t>3Q 2002</t>
  </si>
  <si>
    <t>4Q 2002</t>
  </si>
  <si>
    <t>1Q 2003</t>
  </si>
  <si>
    <t>2Q 2003</t>
  </si>
  <si>
    <t>Average forecasted 3-month Libor rate</t>
  </si>
  <si>
    <t>Average actual borrowing rate (C)</t>
  </si>
  <si>
    <t>Actual 3-month Libor rate (C)</t>
  </si>
  <si>
    <t>Spread Adjustment</t>
  </si>
  <si>
    <t>Projected Short-Term Debt Rate</t>
  </si>
  <si>
    <t>(C) Borrowing and Libor rates since 10/30/2001 S &amp; P downgrade from A2 to A3</t>
  </si>
  <si>
    <t xml:space="preserve">Projected Cost of Preferred Stock </t>
  </si>
  <si>
    <t>Pro Rata</t>
  </si>
  <si>
    <t>Redeemable</t>
  </si>
  <si>
    <t>Non-Redeemable</t>
  </si>
  <si>
    <t>Amortization of Loss on</t>
  </si>
  <si>
    <t>Total Redeemable &amp; Non-Redeemable</t>
  </si>
  <si>
    <t>Trust Preferred Stock</t>
  </si>
  <si>
    <t xml:space="preserve">Projected Preferred Stock </t>
  </si>
  <si>
    <t>(A)  Cost Rate=Dividend Rate/(Net Proceeds/Issue Amount) except for Trust Preferred Stock which uses</t>
  </si>
  <si>
    <t xml:space="preserve">        the yield to maturity calculation.</t>
  </si>
  <si>
    <t>Utility Capital Structure Calculation</t>
  </si>
  <si>
    <t>Short-term Debt</t>
  </si>
  <si>
    <t xml:space="preserve">Long-term Debt </t>
  </si>
  <si>
    <t>Trust Preferred</t>
  </si>
  <si>
    <t xml:space="preserve">Preferred Stock </t>
  </si>
  <si>
    <t>Total Preferred</t>
  </si>
  <si>
    <t>Projected Shares Reacquired</t>
  </si>
  <si>
    <t>On Preferred Stock Subject to Mandatory Redemption</t>
  </si>
  <si>
    <t>For Rate Year October 2002 through September 2003</t>
  </si>
  <si>
    <t>Dividend</t>
  </si>
  <si>
    <t>Reacquired</t>
  </si>
  <si>
    <t>Through</t>
  </si>
  <si>
    <t>Sinking</t>
  </si>
  <si>
    <t xml:space="preserve">Fund </t>
  </si>
  <si>
    <t>Requirement</t>
  </si>
  <si>
    <t>6/30/2001 Shares Outstanding</t>
  </si>
  <si>
    <t>Projected Shares Outstanding at 12/31/2001</t>
  </si>
  <si>
    <t>Shares Reacquired for Sinking Fund 2/15/2002</t>
  </si>
  <si>
    <t>Projected Shares Outstanding at 9/30/2002</t>
  </si>
  <si>
    <t>Shares Reacquired for Sinking Fund 2/15/2003</t>
  </si>
  <si>
    <t>Projected Shares Outstanding at 9/30/2003</t>
  </si>
  <si>
    <t>Average Shares Outstanding for Rate Year</t>
  </si>
  <si>
    <t xml:space="preserve"> x $100 Par =</t>
  </si>
  <si>
    <t>Sinking Fund</t>
  </si>
  <si>
    <t>Requirements</t>
  </si>
  <si>
    <t>Net Proceeds</t>
  </si>
  <si>
    <t>Recommended Capital Structure</t>
  </si>
  <si>
    <t>Weighted Cost of Capital</t>
  </si>
  <si>
    <t>Ratio</t>
  </si>
  <si>
    <t>Weighted</t>
  </si>
  <si>
    <t>Cost of</t>
  </si>
  <si>
    <t>Capital</t>
  </si>
  <si>
    <t>Short Term Debt</t>
  </si>
  <si>
    <t>Long Term Debt</t>
  </si>
  <si>
    <t>Preferred Stock</t>
  </si>
  <si>
    <t>Common Stock</t>
  </si>
  <si>
    <t>Long-Term Debt June 30, 2001 (from page 4)</t>
  </si>
  <si>
    <t>Conserv. Bonds</t>
  </si>
  <si>
    <t>(A)  Net proceeds are face amount less underwriter's fees and</t>
  </si>
  <si>
    <t>and Requested Rate of Return</t>
  </si>
  <si>
    <t>Sinking Fund Adjustment-7.75% Series (C)</t>
  </si>
  <si>
    <t>Reacquired Preferred Stock (B)</t>
  </si>
  <si>
    <t>Calculation of Amortization of Net Loss</t>
  </si>
  <si>
    <t>On Reacquired Preferred Stock</t>
  </si>
  <si>
    <t>Original</t>
  </si>
  <si>
    <t xml:space="preserve">Reacquired </t>
  </si>
  <si>
    <t>Call</t>
  </si>
  <si>
    <t>Price</t>
  </si>
  <si>
    <t>Net Gain or Loss on Preferred Stock</t>
  </si>
  <si>
    <t>Gain/Loss on</t>
  </si>
  <si>
    <t>Net Gain</t>
  </si>
  <si>
    <t>or Loss</t>
  </si>
  <si>
    <t xml:space="preserve">Remaining </t>
  </si>
  <si>
    <t>Period</t>
  </si>
  <si>
    <t>Proration</t>
  </si>
  <si>
    <t>Prorated</t>
  </si>
  <si>
    <t>Net Loss</t>
  </si>
  <si>
    <t xml:space="preserve">        cost of 8.07% to get a related return on the unamortized balance.</t>
  </si>
  <si>
    <t>1995 Conservation Trust Asset Transaction YTM Calculation</t>
  </si>
  <si>
    <t>1997 Conservation Trust Asset Transaction YTM Calculation</t>
  </si>
  <si>
    <t xml:space="preserve">Projected Redeemable &amp; Non Redeemable </t>
  </si>
  <si>
    <t>Total Trust Preferred</t>
  </si>
  <si>
    <t>Total at June 30, 2001</t>
  </si>
  <si>
    <t>Reacquired Preferred Stock Adjustment (B)</t>
  </si>
  <si>
    <t xml:space="preserve">        estimated corporate expenses.  See page 6 &amp; 7 for Conservation cost rate.</t>
  </si>
  <si>
    <t>(B)  See schedule of annual charges on reacquired debt on page 8.</t>
  </si>
  <si>
    <t>Gain or Loss on Reacquired Preferred Stock</t>
  </si>
  <si>
    <t>(A)  Reflects the yearly charge to amortize the cost associated with the WNG call premium.</t>
  </si>
  <si>
    <t>(B)  Average cost of the prior WNG preferred stock.  This balance is multiplied by the average</t>
  </si>
  <si>
    <t>Prorated Net Loss at June 30, 2001</t>
  </si>
  <si>
    <t xml:space="preserve">Projected Net Loss </t>
  </si>
  <si>
    <t>UQCSS:RLIBOR3M.Q</t>
  </si>
  <si>
    <t>Prorated Net Loss Subtotal</t>
  </si>
  <si>
    <t>Call Date</t>
  </si>
  <si>
    <t>Maturity Date</t>
  </si>
  <si>
    <t>WNG</t>
  </si>
  <si>
    <t>PSPL</t>
  </si>
  <si>
    <t>Prior Company</t>
  </si>
  <si>
    <t xml:space="preserve">Through September 30, 2003 </t>
  </si>
  <si>
    <t>(D)</t>
  </si>
  <si>
    <t>Retirements:</t>
  </si>
  <si>
    <t>Proforma Retirements:</t>
  </si>
  <si>
    <t>LTD Maturing During the 27 Months from</t>
  </si>
  <si>
    <t>LTD to be redeemed during the rate</t>
  </si>
  <si>
    <t>Year October 1, 2002 through September 30, 2003</t>
  </si>
  <si>
    <t>Total Proforma Reduction in Amortization</t>
  </si>
  <si>
    <t>Proforma Annual Charge on Reacquired Debt Redeemed (B)</t>
  </si>
  <si>
    <t>Proforma Long Term Debt Retirement</t>
  </si>
  <si>
    <t>Nonredeemable</t>
  </si>
  <si>
    <t>(A)  Monthly Amortization per company records.  Amortization is over</t>
  </si>
  <si>
    <t xml:space="preserve">        Life of replacement Issue(s).</t>
  </si>
  <si>
    <t>(B)  Monthly Amortization times 12 or prorated for redemptions during rate year.</t>
  </si>
  <si>
    <t>Return on Unamortized WNG Call Premium Balance</t>
  </si>
  <si>
    <t>Return on Unamortized WNG Call Premium Balance at September 30, 2003</t>
  </si>
  <si>
    <t>Return on Unamortized WNG Call Premium Balance Adjustment</t>
  </si>
  <si>
    <t>Unamortized WNG Call Premium Balance</t>
  </si>
  <si>
    <t>(Gain) or Loss on</t>
  </si>
  <si>
    <t>Average</t>
  </si>
  <si>
    <t>A3/P2 Short-Term Debt</t>
  </si>
  <si>
    <t>Bank Fees</t>
  </si>
  <si>
    <t>6 Month</t>
  </si>
  <si>
    <t>(A) - 6 month average outstanding</t>
  </si>
  <si>
    <t>(A)  Actual short-term debt balance at September 30, 2001.</t>
  </si>
  <si>
    <t xml:space="preserve">Attrition </t>
  </si>
  <si>
    <t>Adjustment</t>
  </si>
  <si>
    <t>Common Equity (1)</t>
  </si>
  <si>
    <t>Structure %</t>
  </si>
  <si>
    <t>PSESI</t>
  </si>
  <si>
    <t>PWI Unrealized Gain on Securities Avail for Sale</t>
  </si>
  <si>
    <t>Hydro Energy Development</t>
  </si>
  <si>
    <t>Connext</t>
  </si>
  <si>
    <t>PSE Utility Solutions Inc.</t>
  </si>
  <si>
    <t>Washington Energy Gas Marketing</t>
  </si>
  <si>
    <t>Total Subsidiary Common Equity</t>
  </si>
  <si>
    <t xml:space="preserve">WECO </t>
  </si>
  <si>
    <t>Puget Western Inc.</t>
  </si>
  <si>
    <t>Remove Subsidiary Common Equity:</t>
  </si>
  <si>
    <t>Total Regulated Common Equity (1)</t>
  </si>
  <si>
    <t>Common Equity before Adjustment</t>
  </si>
  <si>
    <t>April 1, 2003 Through September 30, 2003</t>
  </si>
  <si>
    <t>Cause No. ____________</t>
  </si>
  <si>
    <t>INTEREST RATE, 3-MONTH LIBOR</t>
  </si>
  <si>
    <t>Forecasted 3-month Libor rate:</t>
  </si>
  <si>
    <t>PERCENT NSA SOURCE: THE CHASE MANHATTAN BANK Forecast Period: 2002q3-2003q2</t>
  </si>
  <si>
    <t>(B)  See net loss on reacquired preferred stock workpaper on page 13.</t>
  </si>
  <si>
    <t>(C)  See Sinking Fund Adjustment for 7.75 Series II on page 14.</t>
  </si>
  <si>
    <t>Conservation</t>
  </si>
  <si>
    <t xml:space="preserve"> Capital</t>
  </si>
  <si>
    <t>Adjusted</t>
  </si>
  <si>
    <t>Structure $</t>
  </si>
  <si>
    <t>Projected Long-Term Debt at September 30, 2003</t>
  </si>
  <si>
    <t>(C) See long term debt retirement calculation on page 9.</t>
  </si>
  <si>
    <t>(D) See proforma long term debt retirement calaculation page 10.</t>
  </si>
  <si>
    <t>(C)</t>
  </si>
  <si>
    <t>Cash Flows (P&amp;I)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</si>
</sst>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&quot;$&quot;#,##0.0_);\(&quot;$&quot;#,##0.0\)"/>
    <numFmt numFmtId="167" formatCode="&quot;$&quot;#,##0.000_);\(&quot;$&quot;#,##0.000\)"/>
    <numFmt numFmtId="168" formatCode="0.0%"/>
    <numFmt numFmtId="169" formatCode="&quot;$&quot;#,###,;\(&quot;$&quot;#,###,\)"/>
    <numFmt numFmtId="170" formatCode="&quot;PCB &quot;0.000%"/>
    <numFmt numFmtId="171" formatCode="&quot;PCB &quot;0.00%"/>
    <numFmt numFmtId="172" formatCode="&quot;PCB   &quot;0.000%"/>
    <numFmt numFmtId="173" formatCode="&quot;PCB  &quot;0.000%"/>
    <numFmt numFmtId="174" formatCode="&quot;PCB   &quot;0.00%"/>
    <numFmt numFmtId="175" formatCode="0.00000%"/>
    <numFmt numFmtId="176" formatCode="mmmm\ d\,\ yyyy"/>
    <numFmt numFmtId="177" formatCode="00000"/>
    <numFmt numFmtId="178" formatCode="0.000"/>
    <numFmt numFmtId="179" formatCode="0.00000"/>
    <numFmt numFmtId="180" formatCode="#\ ?/?%"/>
    <numFmt numFmtId="181" formatCode="#\ \ ?/?%"/>
    <numFmt numFmtId="182" formatCode="0.0"/>
    <numFmt numFmtId="183" formatCode="0.0_);\(0.0\)"/>
    <numFmt numFmtId="184" formatCode="mm/dd/yy"/>
    <numFmt numFmtId="185" formatCode="&quot;$&quot;#,##0.00"/>
    <numFmt numFmtId="186" formatCode="&quot;$&quot;#,##0"/>
    <numFmt numFmtId="187" formatCode="#,##0.0_);\(#,##0.0\)"/>
    <numFmt numFmtId="188" formatCode="&quot;$&quot;#,##0.0000_);\(&quot;$&quot;#,##0.0000\)"/>
    <numFmt numFmtId="189" formatCode="&quot;$&quot;#,##0.00000_);\(&quot;$&quot;#,##0.00000\)"/>
    <numFmt numFmtId="190" formatCode="&quot;$&quot;#,##0.000000_);\(&quot;$&quot;#,##0.000000\)"/>
    <numFmt numFmtId="191" formatCode="&quot;$&quot;#,##0.0000000_);\(&quot;$&quot;#,##0.0000000\)"/>
    <numFmt numFmtId="192" formatCode="&quot;$&quot;#,##0.00000000_);\(&quot;$&quot;#,##0.00000000\)"/>
    <numFmt numFmtId="193" formatCode="&quot;$&quot;#,##0.000000000_);\(&quot;$&quot;#,##0.000000000\)"/>
    <numFmt numFmtId="194" formatCode="0.0000"/>
    <numFmt numFmtId="195" formatCode="0.000000"/>
    <numFmt numFmtId="196" formatCode="#,##0.000_);\(#,##0.000\)"/>
    <numFmt numFmtId="197" formatCode="#,##0.0000_);\(#,##0.0000\)"/>
    <numFmt numFmtId="198" formatCode="_(* #,##0.0_);_(* \(#,##0.0\);_(* &quot;-&quot;??_);_(@_)"/>
    <numFmt numFmtId="199" formatCode="_(* #,##0_);_(* \(#,##0\);_(* &quot;-&quot;??_);_(@_)"/>
    <numFmt numFmtId="200" formatCode="_(&quot;$&quot;* #,##0.0_);_(&quot;$&quot;* \(#,##0.0\);_(&quot;$&quot;* &quot;-&quot;??_);_(@_)"/>
    <numFmt numFmtId="201" formatCode="_(&quot;$&quot;* #,##0_);_(&quot;$&quot;* \(#,##0\);_(&quot;$&quot;* &quot;-&quot;??_);_(@_)"/>
    <numFmt numFmtId="202" formatCode="0.00000000"/>
    <numFmt numFmtId="203" formatCode="0.0000000"/>
    <numFmt numFmtId="204" formatCode="\(0\)"/>
    <numFmt numFmtId="205" formatCode="&quot;Rate &quot;0.00%"/>
    <numFmt numFmtId="206" formatCode="&quot;Yield &quot;0.00%"/>
    <numFmt numFmtId="207" formatCode="mmm\-d\-yy"/>
    <numFmt numFmtId="208" formatCode="00&quot; Basis Points&quot;"/>
    <numFmt numFmtId="209" formatCode="&quot;at &quot;0.00%"/>
    <numFmt numFmtId="210" formatCode="#,##0.0"/>
    <numFmt numFmtId="211" formatCode="&quot;$&quot;#,##0.0"/>
    <numFmt numFmtId="212" formatCode="mmm\-yyyy"/>
    <numFmt numFmtId="213" formatCode="mmmm\-yy"/>
    <numFmt numFmtId="214" formatCode="0.0000000%"/>
  </numFmts>
  <fonts count="29">
    <font>
      <sz val="12"/>
      <name val="MS Serif"/>
      <family val="0"/>
    </font>
    <font>
      <b/>
      <sz val="12"/>
      <name val="MS Serif"/>
      <family val="0"/>
    </font>
    <font>
      <i/>
      <sz val="12"/>
      <name val="MS Serif"/>
      <family val="0"/>
    </font>
    <font>
      <b/>
      <i/>
      <sz val="12"/>
      <name val="MS Serif"/>
      <family val="0"/>
    </font>
    <font>
      <sz val="10"/>
      <name val="Geneva"/>
      <family val="0"/>
    </font>
    <font>
      <sz val="8"/>
      <name val="Tahoma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neva"/>
      <family val="0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u val="single"/>
      <sz val="12"/>
      <name val="Times New Roman"/>
      <family val="1"/>
    </font>
    <font>
      <b/>
      <sz val="8"/>
      <name val="M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1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15" fontId="7" fillId="0" borderId="1" xfId="29" applyNumberFormat="1" applyFont="1" applyBorder="1" applyAlignment="1">
      <alignment horizontal="left"/>
      <protection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29" applyFont="1">
      <alignment/>
      <protection/>
    </xf>
    <xf numFmtId="0" fontId="8" fillId="0" borderId="0" xfId="29" applyFont="1">
      <alignment/>
      <protection/>
    </xf>
    <xf numFmtId="0" fontId="8" fillId="0" borderId="0" xfId="29" applyFont="1" applyProtection="1">
      <alignment/>
      <protection/>
    </xf>
    <xf numFmtId="0" fontId="7" fillId="0" borderId="0" xfId="29" applyFont="1" applyAlignment="1" applyProtection="1">
      <alignment horizontal="left"/>
      <protection/>
    </xf>
    <xf numFmtId="0" fontId="7" fillId="0" borderId="0" xfId="29" applyFont="1">
      <alignment/>
      <protection/>
    </xf>
    <xf numFmtId="0" fontId="7" fillId="0" borderId="0" xfId="29" applyFont="1" applyAlignment="1" applyProtection="1">
      <alignment horizontal="center"/>
      <protection/>
    </xf>
    <xf numFmtId="0" fontId="7" fillId="0" borderId="0" xfId="29" applyFont="1" applyAlignment="1">
      <alignment horizontal="center"/>
      <protection/>
    </xf>
    <xf numFmtId="0" fontId="10" fillId="0" borderId="0" xfId="29" applyFont="1" applyAlignment="1" applyProtection="1">
      <alignment horizontal="center"/>
      <protection/>
    </xf>
    <xf numFmtId="0" fontId="10" fillId="0" borderId="0" xfId="29" applyFont="1" applyAlignment="1">
      <alignment horizontal="center"/>
      <protection/>
    </xf>
    <xf numFmtId="15" fontId="8" fillId="0" borderId="0" xfId="29" applyNumberFormat="1" applyFont="1" applyAlignment="1">
      <alignment horizontal="center"/>
      <protection/>
    </xf>
    <xf numFmtId="7" fontId="8" fillId="0" borderId="0" xfId="29" applyNumberFormat="1" applyFont="1">
      <alignment/>
      <protection/>
    </xf>
    <xf numFmtId="164" fontId="8" fillId="0" borderId="0" xfId="29" applyNumberFormat="1" applyFont="1" applyAlignment="1" applyProtection="1">
      <alignment horizontal="center"/>
      <protection/>
    </xf>
    <xf numFmtId="15" fontId="8" fillId="0" borderId="0" xfId="29" applyNumberFormat="1" applyFont="1" applyAlignment="1" applyProtection="1">
      <alignment horizontal="center"/>
      <protection/>
    </xf>
    <xf numFmtId="0" fontId="7" fillId="0" borderId="0" xfId="29" applyFont="1" applyAlignment="1" quotePrefix="1">
      <alignment horizontal="left"/>
      <protection/>
    </xf>
    <xf numFmtId="7" fontId="7" fillId="0" borderId="0" xfId="29" applyNumberFormat="1" applyFont="1" applyAlignment="1" applyProtection="1">
      <alignment horizontal="right"/>
      <protection/>
    </xf>
    <xf numFmtId="164" fontId="7" fillId="0" borderId="2" xfId="29" applyNumberFormat="1" applyFont="1" applyBorder="1" applyAlignment="1">
      <alignment horizontal="left"/>
      <protection/>
    </xf>
    <xf numFmtId="7" fontId="7" fillId="0" borderId="0" xfId="29" applyNumberFormat="1" applyFont="1" applyBorder="1">
      <alignment/>
      <protection/>
    </xf>
    <xf numFmtId="0" fontId="11" fillId="0" borderId="0" xfId="29" applyFont="1">
      <alignment/>
      <protection/>
    </xf>
    <xf numFmtId="7" fontId="8" fillId="0" borderId="0" xfId="29" applyNumberFormat="1" applyFont="1" applyBorder="1">
      <alignment/>
      <protection/>
    </xf>
    <xf numFmtId="7" fontId="8" fillId="0" borderId="0" xfId="29" applyNumberFormat="1" applyFont="1" applyProtection="1">
      <alignment/>
      <protection/>
    </xf>
    <xf numFmtId="43" fontId="11" fillId="0" borderId="0" xfId="15" applyFont="1" applyAlignment="1">
      <alignment/>
    </xf>
    <xf numFmtId="0" fontId="8" fillId="0" borderId="0" xfId="29" applyFont="1" applyAlignment="1" applyProtection="1">
      <alignment horizontal="left"/>
      <protection/>
    </xf>
    <xf numFmtId="5" fontId="8" fillId="0" borderId="0" xfId="29" applyNumberFormat="1" applyFo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7" fontId="7" fillId="0" borderId="0" xfId="0" applyNumberFormat="1" applyFont="1" applyBorder="1" applyAlignment="1">
      <alignment/>
    </xf>
    <xf numFmtId="164" fontId="12" fillId="0" borderId="0" xfId="29" applyNumberFormat="1" applyFont="1" applyAlignment="1">
      <alignment horizontal="center"/>
      <protection/>
    </xf>
    <xf numFmtId="15" fontId="12" fillId="0" borderId="0" xfId="29" applyNumberFormat="1" applyFont="1" applyAlignment="1">
      <alignment horizontal="center"/>
      <protection/>
    </xf>
    <xf numFmtId="1" fontId="12" fillId="0" borderId="0" xfId="29" applyNumberFormat="1" applyFont="1" applyAlignment="1">
      <alignment horizontal="center"/>
      <protection/>
    </xf>
    <xf numFmtId="182" fontId="13" fillId="0" borderId="0" xfId="29" applyNumberFormat="1" applyFont="1" applyAlignment="1">
      <alignment horizontal="center"/>
      <protection/>
    </xf>
    <xf numFmtId="7" fontId="12" fillId="0" borderId="0" xfId="29" applyNumberFormat="1" applyFont="1" applyFill="1" applyAlignment="1" applyProtection="1">
      <alignment horizontal="right"/>
      <protection/>
    </xf>
    <xf numFmtId="7" fontId="12" fillId="0" borderId="0" xfId="29" applyNumberFormat="1" applyFont="1">
      <alignment/>
      <protection/>
    </xf>
    <xf numFmtId="164" fontId="12" fillId="0" borderId="0" xfId="29" applyNumberFormat="1" applyFont="1" applyAlignment="1" applyProtection="1">
      <alignment horizontal="center"/>
      <protection/>
    </xf>
    <xf numFmtId="15" fontId="12" fillId="0" borderId="0" xfId="29" applyNumberFormat="1" applyFont="1" applyAlignment="1" applyProtection="1">
      <alignment horizontal="center"/>
      <protection/>
    </xf>
    <xf numFmtId="7" fontId="12" fillId="0" borderId="0" xfId="29" applyNumberFormat="1" applyFont="1" applyFill="1" applyProtection="1">
      <alignment/>
      <protection/>
    </xf>
    <xf numFmtId="164" fontId="12" fillId="0" borderId="0" xfId="29" applyNumberFormat="1" applyFont="1" applyFill="1" applyAlignment="1">
      <alignment horizontal="center"/>
      <protection/>
    </xf>
    <xf numFmtId="1" fontId="12" fillId="0" borderId="0" xfId="29" applyNumberFormat="1" applyFont="1" applyFill="1" applyAlignment="1">
      <alignment horizontal="center"/>
      <protection/>
    </xf>
    <xf numFmtId="15" fontId="12" fillId="0" borderId="0" xfId="29" applyNumberFormat="1" applyFont="1" applyFill="1" applyAlignment="1">
      <alignment horizontal="center"/>
      <protection/>
    </xf>
    <xf numFmtId="182" fontId="13" fillId="0" borderId="0" xfId="29" applyNumberFormat="1" applyFont="1" applyFill="1" applyAlignment="1">
      <alignment horizontal="center"/>
      <protection/>
    </xf>
    <xf numFmtId="183" fontId="13" fillId="0" borderId="0" xfId="29" applyNumberFormat="1" applyFont="1" applyBorder="1" applyAlignment="1">
      <alignment horizontal="center"/>
      <protection/>
    </xf>
    <xf numFmtId="164" fontId="12" fillId="0" borderId="0" xfId="29" applyNumberFormat="1" applyFont="1" applyAlignment="1" applyProtection="1">
      <alignment horizontal="right"/>
      <protection/>
    </xf>
    <xf numFmtId="164" fontId="12" fillId="0" borderId="0" xfId="29" applyNumberFormat="1" applyFont="1" applyAlignment="1">
      <alignment horizontal="right"/>
      <protection/>
    </xf>
    <xf numFmtId="7" fontId="13" fillId="0" borderId="1" xfId="29" applyNumberFormat="1" applyFont="1" applyBorder="1" applyAlignment="1" applyProtection="1">
      <alignment horizontal="right"/>
      <protection/>
    </xf>
    <xf numFmtId="7" fontId="13" fillId="0" borderId="3" xfId="29" applyNumberFormat="1" applyFont="1" applyBorder="1" applyAlignment="1" applyProtection="1">
      <alignment horizontal="right"/>
      <protection/>
    </xf>
    <xf numFmtId="7" fontId="13" fillId="0" borderId="1" xfId="0" applyNumberFormat="1" applyFont="1" applyBorder="1" applyAlignment="1">
      <alignment/>
    </xf>
    <xf numFmtId="7" fontId="13" fillId="0" borderId="3" xfId="0" applyNumberFormat="1" applyFont="1" applyBorder="1" applyAlignment="1">
      <alignment/>
    </xf>
    <xf numFmtId="1" fontId="8" fillId="0" borderId="0" xfId="29" applyNumberFormat="1" applyFont="1" applyProtection="1">
      <alignment/>
      <protection/>
    </xf>
    <xf numFmtId="0" fontId="7" fillId="0" borderId="0" xfId="0" applyFont="1" applyAlignment="1">
      <alignment/>
    </xf>
    <xf numFmtId="17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5" fontId="8" fillId="0" borderId="0" xfId="0" applyNumberFormat="1" applyFont="1" applyAlignment="1">
      <alignment/>
    </xf>
    <xf numFmtId="10" fontId="8" fillId="0" borderId="0" xfId="31" applyNumberFormat="1" applyFont="1" applyAlignment="1">
      <alignment/>
    </xf>
    <xf numFmtId="15" fontId="8" fillId="0" borderId="0" xfId="0" applyNumberFormat="1" applyFont="1" applyFill="1" applyAlignment="1">
      <alignment/>
    </xf>
    <xf numFmtId="10" fontId="8" fillId="0" borderId="0" xfId="31" applyNumberFormat="1" applyFont="1" applyFill="1" applyAlignment="1">
      <alignment/>
    </xf>
    <xf numFmtId="0" fontId="8" fillId="0" borderId="0" xfId="0" applyFont="1" applyFill="1" applyAlignment="1">
      <alignment/>
    </xf>
    <xf numFmtId="37" fontId="14" fillId="0" borderId="0" xfId="22" applyFont="1" applyAlignment="1" applyProtection="1" quotePrefix="1">
      <alignment horizontal="centerContinuous"/>
      <protection/>
    </xf>
    <xf numFmtId="37" fontId="12" fillId="0" borderId="0" xfId="22" applyFont="1" applyAlignment="1">
      <alignment horizontal="centerContinuous"/>
      <protection/>
    </xf>
    <xf numFmtId="0" fontId="12" fillId="0" borderId="0" xfId="0" applyFont="1" applyAlignment="1">
      <alignment horizontal="centerContinuous"/>
    </xf>
    <xf numFmtId="5" fontId="12" fillId="0" borderId="0" xfId="22" applyNumberFormat="1" applyFont="1" applyAlignment="1">
      <alignment horizontal="centerContinuous"/>
      <protection/>
    </xf>
    <xf numFmtId="37" fontId="12" fillId="0" borderId="0" xfId="22" applyFont="1">
      <alignment/>
      <protection/>
    </xf>
    <xf numFmtId="37" fontId="12" fillId="0" borderId="0" xfId="22" applyFont="1" applyAlignment="1" applyProtection="1">
      <alignment horizontal="left"/>
      <protection/>
    </xf>
    <xf numFmtId="15" fontId="13" fillId="0" borderId="0" xfId="22" applyNumberFormat="1" applyFont="1" applyAlignment="1" applyProtection="1">
      <alignment horizontal="centerContinuous"/>
      <protection/>
    </xf>
    <xf numFmtId="15" fontId="12" fillId="0" borderId="0" xfId="22" applyNumberFormat="1" applyFont="1" applyAlignment="1" applyProtection="1">
      <alignment horizontal="centerContinuous"/>
      <protection/>
    </xf>
    <xf numFmtId="5" fontId="12" fillId="0" borderId="0" xfId="22" applyNumberFormat="1" applyFont="1" applyAlignment="1" applyProtection="1">
      <alignment horizontal="centerContinuous"/>
      <protection/>
    </xf>
    <xf numFmtId="37" fontId="12" fillId="0" borderId="0" xfId="22" applyFont="1" applyAlignment="1" applyProtection="1">
      <alignment horizontal="center"/>
      <protection/>
    </xf>
    <xf numFmtId="37" fontId="12" fillId="0" borderId="0" xfId="22" applyFont="1" applyAlignment="1" applyProtection="1">
      <alignment horizontal="centerContinuous"/>
      <protection/>
    </xf>
    <xf numFmtId="37" fontId="13" fillId="0" borderId="0" xfId="22" applyFont="1" applyAlignment="1" quotePrefix="1">
      <alignment horizontal="centerContinuous"/>
      <protection/>
    </xf>
    <xf numFmtId="37" fontId="12" fillId="0" borderId="0" xfId="22" applyFont="1" applyAlignment="1">
      <alignment horizontal="center"/>
      <protection/>
    </xf>
    <xf numFmtId="37" fontId="13" fillId="0" borderId="0" xfId="22" applyFont="1">
      <alignment/>
      <protection/>
    </xf>
    <xf numFmtId="5" fontId="13" fillId="0" borderId="0" xfId="22" applyNumberFormat="1" applyFont="1" applyAlignment="1" applyProtection="1">
      <alignment horizontal="center"/>
      <protection/>
    </xf>
    <xf numFmtId="37" fontId="13" fillId="0" borderId="0" xfId="22" applyFont="1" applyAlignment="1" applyProtection="1">
      <alignment horizontal="center"/>
      <protection/>
    </xf>
    <xf numFmtId="37" fontId="13" fillId="0" borderId="0" xfId="22" applyFont="1" applyAlignment="1">
      <alignment horizontal="center"/>
      <protection/>
    </xf>
    <xf numFmtId="5" fontId="13" fillId="0" borderId="0" xfId="22" applyNumberFormat="1" applyFont="1">
      <alignment/>
      <protection/>
    </xf>
    <xf numFmtId="0" fontId="13" fillId="0" borderId="0" xfId="0" applyFont="1" applyAlignment="1">
      <alignment/>
    </xf>
    <xf numFmtId="37" fontId="15" fillId="0" borderId="0" xfId="22" applyFont="1" applyAlignment="1" applyProtection="1">
      <alignment horizontal="left"/>
      <protection/>
    </xf>
    <xf numFmtId="37" fontId="15" fillId="0" borderId="0" xfId="22" applyFont="1" applyAlignment="1" applyProtection="1">
      <alignment horizontal="center"/>
      <protection/>
    </xf>
    <xf numFmtId="5" fontId="15" fillId="0" borderId="0" xfId="22" applyNumberFormat="1" applyFont="1" applyAlignment="1" applyProtection="1">
      <alignment horizontal="center"/>
      <protection/>
    </xf>
    <xf numFmtId="5" fontId="12" fillId="0" borderId="0" xfId="22" applyNumberFormat="1" applyFont="1">
      <alignment/>
      <protection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186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5" fontId="12" fillId="0" borderId="0" xfId="22" applyNumberFormat="1" applyFont="1" applyProtection="1">
      <alignment/>
      <protection/>
    </xf>
    <xf numFmtId="37" fontId="12" fillId="0" borderId="0" xfId="22" applyFont="1" applyFill="1" applyAlignment="1">
      <alignment horizontal="center"/>
      <protection/>
    </xf>
    <xf numFmtId="5" fontId="12" fillId="0" borderId="0" xfId="22" applyNumberFormat="1" applyFont="1" applyFill="1" applyProtection="1">
      <alignment/>
      <protection/>
    </xf>
    <xf numFmtId="37" fontId="12" fillId="0" borderId="0" xfId="22" applyFont="1" applyFill="1">
      <alignment/>
      <protection/>
    </xf>
    <xf numFmtId="37" fontId="16" fillId="0" borderId="0" xfId="22" applyFont="1" applyAlignment="1">
      <alignment horizontal="center"/>
      <protection/>
    </xf>
    <xf numFmtId="37" fontId="17" fillId="0" borderId="0" xfId="22" applyFont="1">
      <alignment/>
      <protection/>
    </xf>
    <xf numFmtId="37" fontId="16" fillId="0" borderId="0" xfId="22" applyFont="1" applyFill="1" applyAlignment="1">
      <alignment horizontal="center"/>
      <protection/>
    </xf>
    <xf numFmtId="37" fontId="17" fillId="0" borderId="0" xfId="22" applyFont="1" applyFill="1">
      <alignment/>
      <protection/>
    </xf>
    <xf numFmtId="15" fontId="12" fillId="0" borderId="0" xfId="22" applyNumberFormat="1" applyFont="1" applyProtection="1">
      <alignment/>
      <protection/>
    </xf>
    <xf numFmtId="5" fontId="12" fillId="0" borderId="4" xfId="22" applyNumberFormat="1" applyFont="1" applyBorder="1">
      <alignment/>
      <protection/>
    </xf>
    <xf numFmtId="2" fontId="12" fillId="0" borderId="0" xfId="22" applyNumberFormat="1" applyFont="1" applyProtection="1">
      <alignment/>
      <protection/>
    </xf>
    <xf numFmtId="10" fontId="18" fillId="0" borderId="0" xfId="22" applyNumberFormat="1" applyFont="1" applyFill="1" applyProtection="1">
      <alignment/>
      <protection/>
    </xf>
    <xf numFmtId="10" fontId="12" fillId="0" borderId="0" xfId="22" applyNumberFormat="1" applyFont="1" applyProtection="1">
      <alignment/>
      <protection/>
    </xf>
    <xf numFmtId="10" fontId="12" fillId="0" borderId="0" xfId="22" applyNumberFormat="1" applyFont="1" applyAlignment="1" applyProtection="1">
      <alignment horizontal="left"/>
      <protection/>
    </xf>
    <xf numFmtId="15" fontId="12" fillId="0" borderId="0" xfId="22" applyNumberFormat="1" applyFont="1" applyAlignment="1" applyProtection="1">
      <alignment horizontal="center"/>
      <protection/>
    </xf>
    <xf numFmtId="10" fontId="12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/>
    </xf>
    <xf numFmtId="186" fontId="12" fillId="0" borderId="4" xfId="0" applyNumberFormat="1" applyFont="1" applyBorder="1" applyAlignment="1">
      <alignment/>
    </xf>
    <xf numFmtId="5" fontId="12" fillId="0" borderId="4" xfId="22" applyNumberFormat="1" applyFont="1" applyBorder="1" applyProtection="1">
      <alignment/>
      <protection/>
    </xf>
    <xf numFmtId="10" fontId="12" fillId="0" borderId="0" xfId="22" applyNumberFormat="1" applyFont="1" applyBorder="1" applyProtection="1">
      <alignment/>
      <protection/>
    </xf>
    <xf numFmtId="10" fontId="12" fillId="0" borderId="0" xfId="22" applyNumberFormat="1" applyFont="1" applyAlignment="1" applyProtection="1">
      <alignment horizontal="fill"/>
      <protection/>
    </xf>
    <xf numFmtId="164" fontId="12" fillId="0" borderId="0" xfId="22" applyNumberFormat="1" applyFont="1" applyAlignment="1" applyProtection="1">
      <alignment horizontal="fill"/>
      <protection/>
    </xf>
    <xf numFmtId="37" fontId="12" fillId="0" borderId="0" xfId="22" applyFont="1" applyAlignment="1">
      <alignment horizontal="right"/>
      <protection/>
    </xf>
    <xf numFmtId="15" fontId="12" fillId="0" borderId="0" xfId="22" applyNumberFormat="1" applyFont="1" applyAlignment="1" applyProtection="1">
      <alignment horizontal="left"/>
      <protection/>
    </xf>
    <xf numFmtId="0" fontId="12" fillId="0" borderId="0" xfId="29" applyFont="1" applyAlignment="1" applyProtection="1">
      <alignment horizontal="left"/>
      <protection/>
    </xf>
    <xf numFmtId="37" fontId="19" fillId="0" borderId="0" xfId="22" applyFont="1" applyAlignment="1" applyProtection="1" quotePrefix="1">
      <alignment horizontal="centerContinuous"/>
      <protection/>
    </xf>
    <xf numFmtId="15" fontId="7" fillId="0" borderId="0" xfId="22" applyNumberFormat="1" applyFont="1" applyAlignment="1" applyProtection="1">
      <alignment horizontal="centerContinuous"/>
      <protection/>
    </xf>
    <xf numFmtId="5" fontId="12" fillId="0" borderId="0" xfId="0" applyNumberFormat="1" applyFont="1" applyAlignment="1">
      <alignment/>
    </xf>
    <xf numFmtId="10" fontId="12" fillId="0" borderId="0" xfId="31" applyNumberFormat="1" applyFont="1" applyAlignment="1">
      <alignment/>
    </xf>
    <xf numFmtId="10" fontId="12" fillId="0" borderId="0" xfId="31" applyNumberFormat="1" applyFont="1" applyAlignment="1">
      <alignment horizontal="left"/>
    </xf>
    <xf numFmtId="0" fontId="7" fillId="0" borderId="0" xfId="0" applyFont="1" applyAlignment="1">
      <alignment horizontal="center"/>
    </xf>
    <xf numFmtId="5" fontId="12" fillId="0" borderId="0" xfId="17" applyNumberFormat="1" applyFont="1" applyAlignment="1">
      <alignment/>
    </xf>
    <xf numFmtId="7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6" fontId="8" fillId="0" borderId="0" xfId="17" applyNumberFormat="1" applyFont="1" applyFill="1" applyAlignment="1">
      <alignment/>
    </xf>
    <xf numFmtId="186" fontId="8" fillId="0" borderId="0" xfId="17" applyNumberFormat="1" applyFont="1" applyAlignment="1">
      <alignment/>
    </xf>
    <xf numFmtId="186" fontId="8" fillId="0" borderId="4" xfId="17" applyNumberFormat="1" applyFont="1" applyFill="1" applyBorder="1" applyAlignment="1">
      <alignment/>
    </xf>
    <xf numFmtId="186" fontId="8" fillId="0" borderId="4" xfId="17" applyNumberFormat="1" applyFont="1" applyBorder="1" applyAlignment="1">
      <alignment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Alignment="1">
      <alignment/>
    </xf>
    <xf numFmtId="186" fontId="8" fillId="0" borderId="4" xfId="0" applyNumberFormat="1" applyFont="1" applyFill="1" applyBorder="1" applyAlignment="1">
      <alignment/>
    </xf>
    <xf numFmtId="186" fontId="8" fillId="0" borderId="4" xfId="0" applyNumberFormat="1" applyFont="1" applyBorder="1" applyAlignment="1">
      <alignment/>
    </xf>
    <xf numFmtId="37" fontId="8" fillId="0" borderId="0" xfId="21" applyFont="1">
      <alignment/>
      <protection/>
    </xf>
    <xf numFmtId="37" fontId="8" fillId="0" borderId="0" xfId="21" applyFont="1" applyAlignment="1" applyProtection="1">
      <alignment horizontal="center"/>
      <protection/>
    </xf>
    <xf numFmtId="37" fontId="8" fillId="0" borderId="0" xfId="21" applyFont="1" applyAlignment="1">
      <alignment horizontal="centerContinuous"/>
      <protection/>
    </xf>
    <xf numFmtId="37" fontId="8" fillId="0" borderId="0" xfId="21" applyFont="1" applyAlignment="1">
      <alignment horizontal="center"/>
      <protection/>
    </xf>
    <xf numFmtId="37" fontId="7" fillId="0" borderId="0" xfId="21" applyFont="1" applyAlignment="1">
      <alignment horizontal="center"/>
      <protection/>
    </xf>
    <xf numFmtId="37" fontId="7" fillId="0" borderId="0" xfId="21" applyFont="1" applyAlignment="1" applyProtection="1">
      <alignment horizontal="center"/>
      <protection/>
    </xf>
    <xf numFmtId="37" fontId="10" fillId="0" borderId="0" xfId="21" applyFont="1" applyAlignment="1">
      <alignment horizontal="center"/>
      <protection/>
    </xf>
    <xf numFmtId="37" fontId="10" fillId="0" borderId="0" xfId="21" applyFont="1" applyAlignment="1" applyProtection="1">
      <alignment horizontal="center"/>
      <protection/>
    </xf>
    <xf numFmtId="37" fontId="20" fillId="0" borderId="0" xfId="21" applyFont="1" applyAlignment="1">
      <alignment horizontal="center"/>
      <protection/>
    </xf>
    <xf numFmtId="37" fontId="10" fillId="0" borderId="0" xfId="21" applyFont="1" applyBorder="1" applyAlignment="1" applyProtection="1">
      <alignment horizontal="center"/>
      <protection/>
    </xf>
    <xf numFmtId="37" fontId="8" fillId="0" borderId="0" xfId="21" applyFont="1" applyAlignment="1" applyProtection="1">
      <alignment horizontal="left"/>
      <protection/>
    </xf>
    <xf numFmtId="37" fontId="8" fillId="0" borderId="0" xfId="21" applyFont="1" applyAlignment="1" applyProtection="1">
      <alignment horizontal="fill"/>
      <protection/>
    </xf>
    <xf numFmtId="10" fontId="8" fillId="0" borderId="0" xfId="21" applyNumberFormat="1" applyFont="1" applyProtection="1">
      <alignment/>
      <protection/>
    </xf>
    <xf numFmtId="5" fontId="8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37" fontId="7" fillId="0" borderId="0" xfId="21" applyFont="1" applyBorder="1" applyAlignment="1" applyProtection="1">
      <alignment horizontal="center"/>
      <protection/>
    </xf>
    <xf numFmtId="37" fontId="7" fillId="0" borderId="5" xfId="21" applyFont="1" applyBorder="1" applyAlignment="1" applyProtection="1">
      <alignment horizontal="center"/>
      <protection/>
    </xf>
    <xf numFmtId="10" fontId="7" fillId="0" borderId="5" xfId="21" applyNumberFormat="1" applyFont="1" applyBorder="1" applyProtection="1">
      <alignment/>
      <protection/>
    </xf>
    <xf numFmtId="37" fontId="8" fillId="0" borderId="0" xfId="21" applyNumberFormat="1" applyFont="1" applyAlignment="1" applyProtection="1">
      <alignment horizontal="fill"/>
      <protection/>
    </xf>
    <xf numFmtId="37" fontId="8" fillId="0" borderId="0" xfId="21" applyFont="1" applyProtection="1">
      <alignment/>
      <protection/>
    </xf>
    <xf numFmtId="37" fontId="10" fillId="0" borderId="0" xfId="21" applyFont="1">
      <alignment/>
      <protection/>
    </xf>
    <xf numFmtId="10" fontId="8" fillId="0" borderId="0" xfId="21" applyNumberFormat="1" applyFont="1">
      <alignment/>
      <protection/>
    </xf>
    <xf numFmtId="10" fontId="8" fillId="0" borderId="4" xfId="21" applyNumberFormat="1" applyFont="1" applyBorder="1">
      <alignment/>
      <protection/>
    </xf>
    <xf numFmtId="37" fontId="7" fillId="0" borderId="0" xfId="21" applyFont="1">
      <alignment/>
      <protection/>
    </xf>
    <xf numFmtId="10" fontId="7" fillId="0" borderId="0" xfId="21" applyNumberFormat="1" applyFont="1">
      <alignment/>
      <protection/>
    </xf>
    <xf numFmtId="10" fontId="7" fillId="0" borderId="5" xfId="21" applyNumberFormat="1" applyFont="1" applyBorder="1">
      <alignment/>
      <protection/>
    </xf>
    <xf numFmtId="15" fontId="8" fillId="0" borderId="0" xfId="21" applyNumberFormat="1" applyFont="1" applyProtection="1">
      <alignment/>
      <protection/>
    </xf>
    <xf numFmtId="7" fontId="8" fillId="0" borderId="0" xfId="21" applyNumberFormat="1" applyFont="1" applyProtection="1">
      <alignment/>
      <protection/>
    </xf>
    <xf numFmtId="164" fontId="8" fillId="0" borderId="0" xfId="21" applyNumberFormat="1" applyFont="1" applyProtection="1">
      <alignment/>
      <protection/>
    </xf>
    <xf numFmtId="37" fontId="8" fillId="0" borderId="0" xfId="24" applyFont="1" applyAlignment="1">
      <alignment horizontal="centerContinuous"/>
      <protection/>
    </xf>
    <xf numFmtId="37" fontId="8" fillId="0" borderId="0" xfId="24" applyFont="1">
      <alignment/>
      <protection/>
    </xf>
    <xf numFmtId="37" fontId="7" fillId="0" borderId="0" xfId="24" applyFont="1" applyAlignment="1" applyProtection="1">
      <alignment horizontal="center"/>
      <protection/>
    </xf>
    <xf numFmtId="37" fontId="8" fillId="0" borderId="0" xfId="24" applyFont="1" applyAlignment="1">
      <alignment horizontal="center"/>
      <protection/>
    </xf>
    <xf numFmtId="37" fontId="7" fillId="0" borderId="0" xfId="24" applyFont="1">
      <alignment/>
      <protection/>
    </xf>
    <xf numFmtId="37" fontId="10" fillId="0" borderId="0" xfId="24" applyFont="1" applyAlignment="1" applyProtection="1">
      <alignment horizontal="center"/>
      <protection/>
    </xf>
    <xf numFmtId="37" fontId="10" fillId="0" borderId="0" xfId="24" applyFont="1" applyAlignment="1" applyProtection="1">
      <alignment horizontal="left"/>
      <protection/>
    </xf>
    <xf numFmtId="37" fontId="21" fillId="0" borderId="0" xfId="24" applyFont="1">
      <alignment/>
      <protection/>
    </xf>
    <xf numFmtId="37" fontId="8" fillId="0" borderId="0" xfId="24" applyFont="1" applyAlignment="1" applyProtection="1">
      <alignment horizontal="left"/>
      <protection/>
    </xf>
    <xf numFmtId="186" fontId="8" fillId="0" borderId="0" xfId="24" applyNumberFormat="1" applyFont="1" applyAlignment="1" applyProtection="1">
      <alignment horizontal="center"/>
      <protection/>
    </xf>
    <xf numFmtId="5" fontId="22" fillId="0" borderId="0" xfId="24" applyNumberFormat="1" applyFont="1" applyProtection="1">
      <alignment/>
      <protection/>
    </xf>
    <xf numFmtId="5" fontId="8" fillId="0" borderId="0" xfId="24" applyNumberFormat="1" applyFont="1" applyProtection="1">
      <alignment/>
      <protection/>
    </xf>
    <xf numFmtId="10" fontId="8" fillId="0" borderId="0" xfId="24" applyNumberFormat="1" applyFont="1" applyProtection="1">
      <alignment/>
      <protection/>
    </xf>
    <xf numFmtId="5" fontId="22" fillId="0" borderId="0" xfId="24" applyNumberFormat="1" applyFont="1" applyBorder="1" applyProtection="1">
      <alignment/>
      <protection/>
    </xf>
    <xf numFmtId="5" fontId="8" fillId="0" borderId="0" xfId="24" applyNumberFormat="1" applyFont="1" applyBorder="1" applyProtection="1">
      <alignment/>
      <protection/>
    </xf>
    <xf numFmtId="10" fontId="8" fillId="0" borderId="0" xfId="24" applyNumberFormat="1" applyFont="1" applyBorder="1" applyProtection="1">
      <alignment/>
      <protection/>
    </xf>
    <xf numFmtId="37" fontId="22" fillId="0" borderId="0" xfId="24" applyFont="1" applyAlignment="1" applyProtection="1">
      <alignment horizontal="left"/>
      <protection/>
    </xf>
    <xf numFmtId="10" fontId="22" fillId="0" borderId="0" xfId="24" applyNumberFormat="1" applyFont="1" applyProtection="1">
      <alignment/>
      <protection/>
    </xf>
    <xf numFmtId="10" fontId="7" fillId="0" borderId="0" xfId="24" applyNumberFormat="1" applyFont="1" applyBorder="1" applyProtection="1">
      <alignment/>
      <protection/>
    </xf>
    <xf numFmtId="37" fontId="11" fillId="0" borderId="0" xfId="24" applyFont="1">
      <alignment/>
      <protection/>
    </xf>
    <xf numFmtId="5" fontId="8" fillId="0" borderId="4" xfId="24" applyNumberFormat="1" applyFont="1" applyBorder="1" applyProtection="1">
      <alignment/>
      <protection/>
    </xf>
    <xf numFmtId="37" fontId="23" fillId="0" borderId="0" xfId="24" applyFont="1" applyAlignment="1" applyProtection="1">
      <alignment horizontal="left"/>
      <protection/>
    </xf>
    <xf numFmtId="15" fontId="8" fillId="0" borderId="0" xfId="24" applyNumberFormat="1" applyFont="1" applyAlignment="1" applyProtection="1">
      <alignment horizontal="center"/>
      <protection/>
    </xf>
    <xf numFmtId="5" fontId="8" fillId="0" borderId="0" xfId="24" applyNumberFormat="1" applyFont="1" applyBorder="1">
      <alignment/>
      <protection/>
    </xf>
    <xf numFmtId="5" fontId="8" fillId="0" borderId="0" xfId="24" applyNumberFormat="1" applyFont="1">
      <alignment/>
      <protection/>
    </xf>
    <xf numFmtId="37" fontId="10" fillId="0" borderId="0" xfId="24" applyFont="1">
      <alignment/>
      <protection/>
    </xf>
    <xf numFmtId="186" fontId="22" fillId="0" borderId="0" xfId="24" applyNumberFormat="1" applyFont="1" applyProtection="1">
      <alignment/>
      <protection/>
    </xf>
    <xf numFmtId="186" fontId="22" fillId="0" borderId="4" xfId="24" applyNumberFormat="1" applyFont="1" applyBorder="1" applyProtection="1">
      <alignment/>
      <protection/>
    </xf>
    <xf numFmtId="37" fontId="7" fillId="0" borderId="0" xfId="24" applyFont="1" applyAlignment="1" applyProtection="1">
      <alignment horizontal="left"/>
      <protection/>
    </xf>
    <xf numFmtId="37" fontId="7" fillId="0" borderId="0" xfId="24" applyFont="1" applyBorder="1" applyAlignment="1" applyProtection="1">
      <alignment horizontal="left"/>
      <protection/>
    </xf>
    <xf numFmtId="5" fontId="7" fillId="0" borderId="1" xfId="24" applyNumberFormat="1" applyFont="1" applyBorder="1" applyProtection="1">
      <alignment/>
      <protection/>
    </xf>
    <xf numFmtId="10" fontId="7" fillId="0" borderId="1" xfId="24" applyNumberFormat="1" applyFont="1" applyBorder="1" applyProtection="1">
      <alignment/>
      <protection/>
    </xf>
    <xf numFmtId="5" fontId="8" fillId="0" borderId="0" xfId="24" applyNumberFormat="1" applyFont="1" applyAlignment="1" applyProtection="1">
      <alignment horizontal="fill"/>
      <protection/>
    </xf>
    <xf numFmtId="37" fontId="8" fillId="0" borderId="0" xfId="24" applyFont="1" applyAlignment="1" applyProtection="1">
      <alignment horizontal="fill"/>
      <protection/>
    </xf>
    <xf numFmtId="166" fontId="8" fillId="0" borderId="0" xfId="24" applyNumberFormat="1" applyFont="1" applyProtection="1">
      <alignment/>
      <protection/>
    </xf>
    <xf numFmtId="186" fontId="8" fillId="0" borderId="0" xfId="24" applyNumberFormat="1" applyFont="1">
      <alignment/>
      <protection/>
    </xf>
    <xf numFmtId="186" fontId="8" fillId="0" borderId="0" xfId="24" applyNumberFormat="1" applyFont="1" applyProtection="1">
      <alignment/>
      <protection/>
    </xf>
    <xf numFmtId="37" fontId="7" fillId="0" borderId="5" xfId="24" applyFont="1" applyBorder="1">
      <alignment/>
      <protection/>
    </xf>
    <xf numFmtId="186" fontId="7" fillId="0" borderId="5" xfId="24" applyNumberFormat="1" applyFont="1" applyBorder="1">
      <alignment/>
      <protection/>
    </xf>
    <xf numFmtId="5" fontId="7" fillId="0" borderId="5" xfId="24" applyNumberFormat="1" applyFont="1" applyBorder="1" applyProtection="1">
      <alignment/>
      <protection/>
    </xf>
    <xf numFmtId="10" fontId="7" fillId="0" borderId="5" xfId="24" applyNumberFormat="1" applyFont="1" applyBorder="1" applyProtection="1">
      <alignment/>
      <protection/>
    </xf>
    <xf numFmtId="37" fontId="8" fillId="0" borderId="0" xfId="24" applyFont="1" applyFill="1" applyAlignment="1" applyProtection="1" quotePrefix="1">
      <alignment horizontal="left"/>
      <protection/>
    </xf>
    <xf numFmtId="196" fontId="8" fillId="0" borderId="0" xfId="24" applyNumberFormat="1" applyFont="1">
      <alignment/>
      <protection/>
    </xf>
    <xf numFmtId="15" fontId="7" fillId="0" borderId="0" xfId="24" applyNumberFormat="1" applyFont="1" applyAlignment="1" applyProtection="1">
      <alignment horizontal="center"/>
      <protection/>
    </xf>
    <xf numFmtId="37" fontId="8" fillId="0" borderId="0" xfId="24" applyFont="1" applyAlignment="1" applyProtection="1">
      <alignment horizontal="right"/>
      <protection/>
    </xf>
    <xf numFmtId="37" fontId="8" fillId="0" borderId="0" xfId="24" applyFont="1" applyAlignment="1" applyProtection="1">
      <alignment horizontal="center"/>
      <protection/>
    </xf>
    <xf numFmtId="2" fontId="8" fillId="0" borderId="0" xfId="24" applyNumberFormat="1" applyFont="1" applyProtection="1">
      <alignment/>
      <protection/>
    </xf>
    <xf numFmtId="37" fontId="22" fillId="0" borderId="0" xfId="24" applyNumberFormat="1" applyFont="1" applyProtection="1">
      <alignment/>
      <protection/>
    </xf>
    <xf numFmtId="166" fontId="7" fillId="0" borderId="0" xfId="24" applyNumberFormat="1" applyFont="1" applyProtection="1">
      <alignment/>
      <protection/>
    </xf>
    <xf numFmtId="15" fontId="8" fillId="0" borderId="0" xfId="24" applyNumberFormat="1" applyFont="1" applyAlignment="1">
      <alignment horizontal="center"/>
      <protection/>
    </xf>
    <xf numFmtId="166" fontId="8" fillId="0" borderId="4" xfId="24" applyNumberFormat="1" applyFont="1" applyBorder="1" applyProtection="1">
      <alignment/>
      <protection/>
    </xf>
    <xf numFmtId="166" fontId="7" fillId="0" borderId="4" xfId="24" applyNumberFormat="1" applyFont="1" applyBorder="1" applyProtection="1">
      <alignment/>
      <protection/>
    </xf>
    <xf numFmtId="166" fontId="8" fillId="0" borderId="0" xfId="24" applyNumberFormat="1" applyFont="1" applyBorder="1" applyProtection="1">
      <alignment/>
      <protection/>
    </xf>
    <xf numFmtId="166" fontId="7" fillId="0" borderId="0" xfId="24" applyNumberFormat="1" applyFont="1" applyBorder="1" applyProtection="1">
      <alignment/>
      <protection/>
    </xf>
    <xf numFmtId="37" fontId="7" fillId="0" borderId="0" xfId="24" applyFont="1" applyAlignment="1">
      <alignment horizontal="center"/>
      <protection/>
    </xf>
    <xf numFmtId="2" fontId="7" fillId="0" borderId="0" xfId="24" applyNumberFormat="1" applyFont="1" applyAlignment="1" applyProtection="1">
      <alignment horizontal="center"/>
      <protection/>
    </xf>
    <xf numFmtId="37" fontId="23" fillId="0" borderId="0" xfId="24" applyNumberFormat="1" applyFont="1" applyAlignment="1" applyProtection="1">
      <alignment horizontal="center"/>
      <protection/>
    </xf>
    <xf numFmtId="37" fontId="10" fillId="0" borderId="0" xfId="24" applyFont="1" applyAlignment="1">
      <alignment horizontal="center"/>
      <protection/>
    </xf>
    <xf numFmtId="15" fontId="10" fillId="0" borderId="0" xfId="24" applyNumberFormat="1" applyFont="1" applyAlignment="1" applyProtection="1">
      <alignment horizontal="center"/>
      <protection/>
    </xf>
    <xf numFmtId="37" fontId="24" fillId="0" borderId="0" xfId="24" applyNumberFormat="1" applyFont="1" applyAlignment="1" applyProtection="1">
      <alignment horizontal="center"/>
      <protection/>
    </xf>
    <xf numFmtId="164" fontId="8" fillId="0" borderId="0" xfId="31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99" fontId="8" fillId="0" borderId="0" xfId="15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201" fontId="8" fillId="0" borderId="0" xfId="17" applyNumberFormat="1" applyFont="1" applyAlignment="1">
      <alignment horizontal="center"/>
    </xf>
    <xf numFmtId="10" fontId="8" fillId="0" borderId="0" xfId="31" applyNumberFormat="1" applyFont="1" applyAlignment="1">
      <alignment horizontal="center"/>
    </xf>
    <xf numFmtId="199" fontId="8" fillId="0" borderId="4" xfId="15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01" fontId="8" fillId="0" borderId="4" xfId="17" applyNumberFormat="1" applyFont="1" applyBorder="1" applyAlignment="1">
      <alignment horizontal="center"/>
    </xf>
    <xf numFmtId="0" fontId="8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Fill="1">
      <alignment/>
      <protection/>
    </xf>
    <xf numFmtId="0" fontId="7" fillId="0" borderId="0" xfId="19" applyFont="1" applyAlignment="1" applyProtection="1">
      <alignment horizontal="center"/>
      <protection/>
    </xf>
    <xf numFmtId="0" fontId="8" fillId="0" borderId="0" xfId="19" applyFont="1" applyBorder="1">
      <alignment/>
      <protection/>
    </xf>
    <xf numFmtId="212" fontId="7" fillId="0" borderId="0" xfId="19" applyNumberFormat="1" applyFont="1" applyFill="1" applyAlignment="1" applyProtection="1">
      <alignment horizontal="center"/>
      <protection/>
    </xf>
    <xf numFmtId="0" fontId="8" fillId="0" borderId="0" xfId="30" applyFont="1">
      <alignment/>
      <protection/>
    </xf>
    <xf numFmtId="6" fontId="8" fillId="0" borderId="0" xfId="19" applyNumberFormat="1" applyFont="1">
      <alignment/>
      <protection/>
    </xf>
    <xf numFmtId="0" fontId="8" fillId="0" borderId="0" xfId="30" applyFont="1" applyAlignment="1">
      <alignment horizontal="center"/>
      <protection/>
    </xf>
    <xf numFmtId="6" fontId="8" fillId="0" borderId="1" xfId="19" applyNumberFormat="1" applyFont="1" applyFill="1" applyBorder="1" applyProtection="1">
      <alignment/>
      <protection/>
    </xf>
    <xf numFmtId="6" fontId="8" fillId="0" borderId="0" xfId="0" applyNumberFormat="1" applyFont="1" applyFill="1" applyAlignment="1">
      <alignment/>
    </xf>
    <xf numFmtId="6" fontId="8" fillId="0" borderId="1" xfId="0" applyNumberFormat="1" applyFont="1" applyFill="1" applyBorder="1" applyAlignment="1">
      <alignment/>
    </xf>
    <xf numFmtId="6" fontId="8" fillId="0" borderId="1" xfId="19" applyNumberFormat="1" applyFont="1" applyBorder="1" applyProtection="1">
      <alignment/>
      <protection/>
    </xf>
    <xf numFmtId="6" fontId="8" fillId="0" borderId="5" xfId="19" applyNumberFormat="1" applyFont="1" applyFill="1" applyBorder="1" applyProtection="1">
      <alignment/>
      <protection/>
    </xf>
    <xf numFmtId="6" fontId="8" fillId="0" borderId="0" xfId="19" applyNumberFormat="1" applyFont="1" applyFill="1">
      <alignment/>
      <protection/>
    </xf>
    <xf numFmtId="6" fontId="8" fillId="0" borderId="0" xfId="19" applyNumberFormat="1" applyFont="1" applyAlignment="1" applyProtection="1">
      <alignment horizontal="fill"/>
      <protection/>
    </xf>
    <xf numFmtId="3" fontId="8" fillId="0" borderId="0" xfId="15" applyNumberFormat="1" applyFont="1" applyAlignment="1">
      <alignment/>
    </xf>
    <xf numFmtId="16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15" applyNumberFormat="1" applyFont="1" applyAlignment="1">
      <alignment horizontal="center"/>
    </xf>
    <xf numFmtId="0" fontId="7" fillId="0" borderId="4" xfId="0" applyFont="1" applyBorder="1" applyAlignment="1">
      <alignment/>
    </xf>
    <xf numFmtId="213" fontId="7" fillId="0" borderId="4" xfId="0" applyNumberFormat="1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Border="1" applyAlignment="1">
      <alignment/>
    </xf>
    <xf numFmtId="0" fontId="19" fillId="0" borderId="0" xfId="19" applyFont="1" applyAlignment="1" applyProtection="1">
      <alignment horizontal="centerContinuous"/>
      <protection/>
    </xf>
    <xf numFmtId="10" fontId="7" fillId="0" borderId="0" xfId="28" applyFont="1" applyAlignment="1" applyProtection="1">
      <alignment horizontal="centerContinuous"/>
      <protection/>
    </xf>
    <xf numFmtId="1" fontId="12" fillId="0" borderId="0" xfId="28" applyNumberFormat="1" applyFont="1" applyAlignment="1" applyProtection="1">
      <alignment horizontal="centerContinuous"/>
      <protection/>
    </xf>
    <xf numFmtId="1" fontId="12" fillId="0" borderId="0" xfId="28" applyNumberFormat="1" applyFont="1" applyProtection="1">
      <alignment/>
      <protection/>
    </xf>
    <xf numFmtId="10" fontId="12" fillId="0" borderId="0" xfId="28" applyFont="1">
      <alignment/>
      <protection/>
    </xf>
    <xf numFmtId="10" fontId="13" fillId="0" borderId="0" xfId="28" applyFont="1" applyAlignment="1">
      <alignment horizontal="centerContinuous"/>
      <protection/>
    </xf>
    <xf numFmtId="10" fontId="12" fillId="0" borderId="0" xfId="28" applyFont="1" applyAlignment="1">
      <alignment horizontal="centerContinuous"/>
      <protection/>
    </xf>
    <xf numFmtId="10" fontId="12" fillId="0" borderId="0" xfId="28" applyFont="1" applyAlignment="1" applyProtection="1">
      <alignment horizontal="left"/>
      <protection/>
    </xf>
    <xf numFmtId="10" fontId="13" fillId="0" borderId="0" xfId="28" applyFont="1">
      <alignment/>
      <protection/>
    </xf>
    <xf numFmtId="10" fontId="13" fillId="0" borderId="0" xfId="28" applyFont="1" applyAlignment="1" applyProtection="1">
      <alignment horizontal="center"/>
      <protection/>
    </xf>
    <xf numFmtId="10" fontId="15" fillId="0" borderId="0" xfId="28" applyFont="1" applyAlignment="1" applyProtection="1">
      <alignment horizontal="center"/>
      <protection/>
    </xf>
    <xf numFmtId="10" fontId="13" fillId="0" borderId="0" xfId="28" applyFont="1" applyAlignment="1" applyProtection="1">
      <alignment horizontal="left"/>
      <protection/>
    </xf>
    <xf numFmtId="168" fontId="12" fillId="0" borderId="0" xfId="28" applyNumberFormat="1" applyFont="1" applyProtection="1">
      <alignment/>
      <protection/>
    </xf>
    <xf numFmtId="10" fontId="12" fillId="0" borderId="0" xfId="28" applyFont="1" applyFill="1" applyAlignment="1" applyProtection="1" quotePrefix="1">
      <alignment horizontal="left"/>
      <protection/>
    </xf>
    <xf numFmtId="10" fontId="12" fillId="0" borderId="0" xfId="28" applyFont="1" applyFill="1">
      <alignment/>
      <protection/>
    </xf>
    <xf numFmtId="10" fontId="12" fillId="0" borderId="0" xfId="28" applyFont="1" applyFill="1" applyAlignment="1">
      <alignment horizontal="left"/>
      <protection/>
    </xf>
    <xf numFmtId="5" fontId="12" fillId="0" borderId="0" xfId="28" applyNumberFormat="1" applyFont="1" applyProtection="1">
      <alignment/>
      <protection/>
    </xf>
    <xf numFmtId="10" fontId="12" fillId="0" borderId="0" xfId="28" applyNumberFormat="1" applyFont="1" applyProtection="1">
      <alignment/>
      <protection/>
    </xf>
    <xf numFmtId="10" fontId="12" fillId="0" borderId="0" xfId="28" applyFont="1" applyAlignment="1">
      <alignment horizontal="center"/>
      <protection/>
    </xf>
    <xf numFmtId="10" fontId="13" fillId="0" borderId="0" xfId="28" applyFont="1" applyAlignment="1">
      <alignment horizontal="center"/>
      <protection/>
    </xf>
    <xf numFmtId="10" fontId="12" fillId="0" borderId="0" xfId="28" applyFont="1" applyAlignment="1" applyProtection="1">
      <alignment horizontal="center"/>
      <protection/>
    </xf>
    <xf numFmtId="10" fontId="12" fillId="0" borderId="0" xfId="28" applyFont="1" applyBorder="1" applyAlignment="1" applyProtection="1">
      <alignment horizontal="center"/>
      <protection/>
    </xf>
    <xf numFmtId="10" fontId="25" fillId="0" borderId="0" xfId="28" applyFont="1" applyAlignment="1" applyProtection="1">
      <alignment horizontal="center"/>
      <protection/>
    </xf>
    <xf numFmtId="10" fontId="26" fillId="0" borderId="0" xfId="28" applyFont="1" applyBorder="1" applyAlignment="1">
      <alignment horizontal="center"/>
      <protection/>
    </xf>
    <xf numFmtId="10" fontId="26" fillId="0" borderId="0" xfId="28" applyFont="1" applyBorder="1" applyAlignment="1" applyProtection="1">
      <alignment horizontal="center"/>
      <protection/>
    </xf>
    <xf numFmtId="1" fontId="12" fillId="0" borderId="0" xfId="28" applyNumberFormat="1" applyFont="1" applyAlignment="1" applyProtection="1">
      <alignment horizontal="center"/>
      <protection/>
    </xf>
    <xf numFmtId="5" fontId="12" fillId="0" borderId="0" xfId="15" applyNumberFormat="1" applyFont="1" applyAlignment="1" applyProtection="1">
      <alignment horizontal="center"/>
      <protection/>
    </xf>
    <xf numFmtId="5" fontId="12" fillId="0" borderId="0" xfId="28" applyNumberFormat="1" applyFont="1" applyAlignment="1" applyProtection="1">
      <alignment horizontal="center"/>
      <protection/>
    </xf>
    <xf numFmtId="5" fontId="12" fillId="0" borderId="0" xfId="28" applyNumberFormat="1" applyFont="1" applyAlignment="1">
      <alignment horizontal="center"/>
      <protection/>
    </xf>
    <xf numFmtId="5" fontId="12" fillId="0" borderId="0" xfId="17" applyNumberFormat="1" applyFont="1" applyAlignment="1">
      <alignment horizontal="center"/>
    </xf>
    <xf numFmtId="5" fontId="25" fillId="0" borderId="0" xfId="28" applyNumberFormat="1" applyFont="1" applyAlignment="1" applyProtection="1">
      <alignment horizontal="center"/>
      <protection/>
    </xf>
    <xf numFmtId="5" fontId="26" fillId="0" borderId="0" xfId="28" applyNumberFormat="1" applyFont="1" applyBorder="1" applyAlignment="1" applyProtection="1">
      <alignment horizontal="center"/>
      <protection/>
    </xf>
    <xf numFmtId="37" fontId="8" fillId="0" borderId="0" xfId="24" applyFont="1" applyFill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 applyProtection="1">
      <alignment horizont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 applyProtection="1">
      <alignment horizontal="left"/>
      <protection/>
    </xf>
    <xf numFmtId="0" fontId="17" fillId="0" borderId="0" xfId="20" applyFont="1" applyAlignment="1" applyProtection="1">
      <alignment horizontal="center"/>
      <protection/>
    </xf>
    <xf numFmtId="10" fontId="12" fillId="0" borderId="0" xfId="20" applyNumberFormat="1" applyFont="1" applyAlignment="1" applyProtection="1">
      <alignment horizontal="right"/>
      <protection/>
    </xf>
    <xf numFmtId="5" fontId="12" fillId="0" borderId="0" xfId="20" applyNumberFormat="1" applyFont="1" applyProtection="1">
      <alignment/>
      <protection/>
    </xf>
    <xf numFmtId="37" fontId="12" fillId="0" borderId="0" xfId="20" applyNumberFormat="1" applyFont="1" applyProtection="1">
      <alignment/>
      <protection/>
    </xf>
    <xf numFmtId="15" fontId="12" fillId="0" borderId="0" xfId="20" applyNumberFormat="1" applyFont="1" applyProtection="1">
      <alignment/>
      <protection/>
    </xf>
    <xf numFmtId="39" fontId="12" fillId="0" borderId="0" xfId="20" applyNumberFormat="1" applyFont="1" applyProtection="1">
      <alignment/>
      <protection/>
    </xf>
    <xf numFmtId="7" fontId="12" fillId="0" borderId="0" xfId="20" applyNumberFormat="1" applyFont="1" applyProtection="1">
      <alignment/>
      <protection/>
    </xf>
    <xf numFmtId="0" fontId="17" fillId="0" borderId="0" xfId="20" applyFont="1">
      <alignment/>
      <protection/>
    </xf>
    <xf numFmtId="10" fontId="12" fillId="0" borderId="0" xfId="20" applyNumberFormat="1" applyFont="1" applyProtection="1">
      <alignment/>
      <protection/>
    </xf>
    <xf numFmtId="37" fontId="17" fillId="0" borderId="0" xfId="20" applyNumberFormat="1" applyFont="1" applyProtection="1">
      <alignment/>
      <protection/>
    </xf>
    <xf numFmtId="7" fontId="17" fillId="0" borderId="0" xfId="20" applyNumberFormat="1" applyFont="1" applyProtection="1">
      <alignment/>
      <protection/>
    </xf>
    <xf numFmtId="39" fontId="17" fillId="0" borderId="0" xfId="20" applyNumberFormat="1" applyFont="1" applyProtection="1">
      <alignment/>
      <protection/>
    </xf>
    <xf numFmtId="15" fontId="17" fillId="0" borderId="0" xfId="20" applyNumberFormat="1" applyFont="1" applyProtection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 quotePrefix="1">
      <alignment horizontal="right"/>
      <protection/>
    </xf>
    <xf numFmtId="182" fontId="12" fillId="0" borderId="0" xfId="20" applyNumberFormat="1" applyFont="1" applyAlignment="1" quotePrefix="1">
      <alignment horizontal="right"/>
      <protection/>
    </xf>
    <xf numFmtId="0" fontId="12" fillId="0" borderId="0" xfId="20" applyFont="1" applyFill="1" applyAlignment="1" applyProtection="1">
      <alignment horizontal="center"/>
      <protection/>
    </xf>
    <xf numFmtId="10" fontId="12" fillId="0" borderId="0" xfId="20" applyNumberFormat="1" applyFont="1" applyFill="1" applyProtection="1">
      <alignment/>
      <protection/>
    </xf>
    <xf numFmtId="0" fontId="12" fillId="0" borderId="0" xfId="20" applyFont="1" applyFill="1">
      <alignment/>
      <protection/>
    </xf>
    <xf numFmtId="5" fontId="12" fillId="0" borderId="0" xfId="20" applyNumberFormat="1" applyFont="1" applyFill="1" applyProtection="1">
      <alignment/>
      <protection/>
    </xf>
    <xf numFmtId="0" fontId="16" fillId="0" borderId="0" xfId="20" applyFont="1" applyFill="1" applyAlignment="1">
      <alignment horizontal="right"/>
      <protection/>
    </xf>
    <xf numFmtId="0" fontId="16" fillId="0" borderId="0" xfId="20" applyFont="1" applyFill="1" applyAlignment="1">
      <alignment/>
      <protection/>
    </xf>
    <xf numFmtId="0" fontId="16" fillId="0" borderId="0" xfId="20" applyFont="1" applyFill="1" applyAlignment="1" quotePrefix="1">
      <alignment horizontal="right"/>
      <protection/>
    </xf>
    <xf numFmtId="7" fontId="12" fillId="0" borderId="0" xfId="20" applyNumberFormat="1" applyFont="1" applyFill="1" applyProtection="1">
      <alignment/>
      <protection/>
    </xf>
    <xf numFmtId="10" fontId="16" fillId="0" borderId="0" xfId="20" applyNumberFormat="1" applyFont="1" applyFill="1" applyAlignment="1" quotePrefix="1">
      <alignment horizontal="right"/>
      <protection/>
    </xf>
    <xf numFmtId="10" fontId="16" fillId="0" borderId="0" xfId="20" applyNumberFormat="1" applyFont="1" applyFill="1" applyAlignment="1">
      <alignment/>
      <protection/>
    </xf>
    <xf numFmtId="1" fontId="12" fillId="0" borderId="0" xfId="20" applyNumberFormat="1" applyFont="1">
      <alignment/>
      <protection/>
    </xf>
    <xf numFmtId="5" fontId="12" fillId="0" borderId="0" xfId="20" applyNumberFormat="1" applyFont="1">
      <alignment/>
      <protection/>
    </xf>
    <xf numFmtId="7" fontId="12" fillId="0" borderId="0" xfId="20" applyNumberFormat="1" applyFont="1">
      <alignment/>
      <protection/>
    </xf>
    <xf numFmtId="0" fontId="12" fillId="0" borderId="0" xfId="20" applyFont="1" applyAlignment="1">
      <alignment horizontal="left"/>
      <protection/>
    </xf>
    <xf numFmtId="0" fontId="12" fillId="0" borderId="0" xfId="20" applyFont="1" applyAlignment="1" quotePrefix="1">
      <alignment horizontal="left"/>
      <protection/>
    </xf>
    <xf numFmtId="7" fontId="12" fillId="0" borderId="0" xfId="20" applyNumberFormat="1" applyFont="1" applyAlignment="1" applyProtection="1">
      <alignment horizontal="fill"/>
      <protection/>
    </xf>
    <xf numFmtId="0" fontId="17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3" fillId="0" borderId="0" xfId="20" applyFont="1" applyAlignment="1" applyProtection="1">
      <alignment horizontal="right"/>
      <protection/>
    </xf>
    <xf numFmtId="0" fontId="15" fillId="0" borderId="0" xfId="20" applyFont="1" applyAlignment="1" applyProtection="1">
      <alignment horizontal="right"/>
      <protection/>
    </xf>
    <xf numFmtId="0" fontId="12" fillId="0" borderId="0" xfId="20" applyFont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2" fillId="0" borderId="0" xfId="26" applyFont="1">
      <alignment/>
      <protection/>
    </xf>
    <xf numFmtId="15" fontId="12" fillId="0" borderId="0" xfId="26" applyNumberFormat="1" applyFont="1">
      <alignment/>
      <protection/>
    </xf>
    <xf numFmtId="39" fontId="12" fillId="0" borderId="0" xfId="26" applyNumberFormat="1" applyFont="1">
      <alignment/>
      <protection/>
    </xf>
    <xf numFmtId="0" fontId="13" fillId="0" borderId="0" xfId="26" applyFont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0" fontId="13" fillId="0" borderId="7" xfId="26" applyFont="1" applyBorder="1">
      <alignment/>
      <protection/>
    </xf>
    <xf numFmtId="15" fontId="12" fillId="0" borderId="8" xfId="26" applyNumberFormat="1" applyFont="1" applyBorder="1">
      <alignment/>
      <protection/>
    </xf>
    <xf numFmtId="39" fontId="12" fillId="0" borderId="8" xfId="26" applyNumberFormat="1" applyFont="1" applyBorder="1">
      <alignment/>
      <protection/>
    </xf>
    <xf numFmtId="39" fontId="12" fillId="0" borderId="9" xfId="26" applyNumberFormat="1" applyFont="1" applyBorder="1">
      <alignment/>
      <protection/>
    </xf>
    <xf numFmtId="0" fontId="12" fillId="0" borderId="9" xfId="26" applyFont="1" applyBorder="1" applyAlignment="1">
      <alignment horizontal="center"/>
      <protection/>
    </xf>
    <xf numFmtId="0" fontId="13" fillId="0" borderId="0" xfId="26" applyFont="1" applyAlignment="1">
      <alignment horizontal="right"/>
      <protection/>
    </xf>
    <xf numFmtId="0" fontId="12" fillId="0" borderId="10" xfId="26" applyFont="1" applyBorder="1">
      <alignment/>
      <protection/>
    </xf>
    <xf numFmtId="0" fontId="12" fillId="0" borderId="0" xfId="26" applyFont="1" applyBorder="1">
      <alignment/>
      <protection/>
    </xf>
    <xf numFmtId="8" fontId="12" fillId="0" borderId="11" xfId="26" applyNumberFormat="1" applyFont="1" applyBorder="1">
      <alignment/>
      <protection/>
    </xf>
    <xf numFmtId="0" fontId="13" fillId="0" borderId="11" xfId="26" applyFont="1" applyBorder="1" applyAlignment="1">
      <alignment horizontal="center"/>
      <protection/>
    </xf>
    <xf numFmtId="0" fontId="15" fillId="0" borderId="0" xfId="26" applyFont="1" applyAlignment="1">
      <alignment horizontal="center"/>
      <protection/>
    </xf>
    <xf numFmtId="39" fontId="12" fillId="0" borderId="0" xfId="26" applyNumberFormat="1" applyFont="1" applyBorder="1">
      <alignment/>
      <protection/>
    </xf>
    <xf numFmtId="8" fontId="12" fillId="0" borderId="12" xfId="26" applyNumberFormat="1" applyFont="1" applyBorder="1">
      <alignment/>
      <protection/>
    </xf>
    <xf numFmtId="6" fontId="15" fillId="0" borderId="11" xfId="26" applyNumberFormat="1" applyFont="1" applyBorder="1" applyAlignment="1">
      <alignment horizontal="center"/>
      <protection/>
    </xf>
    <xf numFmtId="5" fontId="12" fillId="0" borderId="0" xfId="26" applyNumberFormat="1" applyFont="1" applyAlignment="1">
      <alignment horizontal="center"/>
      <protection/>
    </xf>
    <xf numFmtId="10" fontId="12" fillId="0" borderId="11" xfId="26" applyNumberFormat="1" applyFont="1" applyBorder="1">
      <alignment/>
      <protection/>
    </xf>
    <xf numFmtId="185" fontId="13" fillId="0" borderId="11" xfId="26" applyNumberFormat="1" applyFont="1" applyBorder="1" applyAlignment="1">
      <alignment horizontal="center"/>
      <protection/>
    </xf>
    <xf numFmtId="0" fontId="12" fillId="0" borderId="13" xfId="26" applyFont="1" applyBorder="1">
      <alignment/>
      <protection/>
    </xf>
    <xf numFmtId="15" fontId="12" fillId="0" borderId="4" xfId="26" applyNumberFormat="1" applyFont="1" applyBorder="1">
      <alignment/>
      <protection/>
    </xf>
    <xf numFmtId="39" fontId="12" fillId="0" borderId="4" xfId="26" applyNumberFormat="1" applyFont="1" applyBorder="1">
      <alignment/>
      <protection/>
    </xf>
    <xf numFmtId="39" fontId="12" fillId="0" borderId="12" xfId="26" applyNumberFormat="1" applyFont="1" applyBorder="1">
      <alignment/>
      <protection/>
    </xf>
    <xf numFmtId="0" fontId="12" fillId="0" borderId="12" xfId="26" applyFont="1" applyBorder="1">
      <alignment/>
      <protection/>
    </xf>
    <xf numFmtId="10" fontId="12" fillId="0" borderId="0" xfId="26" applyNumberFormat="1" applyFont="1" applyBorder="1">
      <alignment/>
      <protection/>
    </xf>
    <xf numFmtId="15" fontId="13" fillId="0" borderId="2" xfId="26" applyNumberFormat="1" applyFont="1" applyBorder="1">
      <alignment/>
      <protection/>
    </xf>
    <xf numFmtId="10" fontId="13" fillId="0" borderId="3" xfId="26" applyNumberFormat="1" applyFont="1" applyBorder="1" applyAlignment="1">
      <alignment horizontal="right"/>
      <protection/>
    </xf>
    <xf numFmtId="39" fontId="13" fillId="0" borderId="0" xfId="26" applyNumberFormat="1" applyFont="1" applyAlignment="1">
      <alignment horizontal="center"/>
      <protection/>
    </xf>
    <xf numFmtId="15" fontId="13" fillId="0" borderId="0" xfId="26" applyNumberFormat="1" applyFont="1" applyAlignment="1">
      <alignment horizontal="center"/>
      <protection/>
    </xf>
    <xf numFmtId="0" fontId="13" fillId="0" borderId="0" xfId="26" applyFont="1">
      <alignment/>
      <protection/>
    </xf>
    <xf numFmtId="39" fontId="12" fillId="0" borderId="0" xfId="26" applyNumberFormat="1" applyFont="1" applyAlignment="1">
      <alignment horizontal="right"/>
      <protection/>
    </xf>
    <xf numFmtId="8" fontId="12" fillId="0" borderId="0" xfId="26" applyNumberFormat="1" applyFont="1">
      <alignment/>
      <protection/>
    </xf>
    <xf numFmtId="186" fontId="12" fillId="0" borderId="0" xfId="17" applyNumberFormat="1" applyFont="1" applyBorder="1" applyAlignment="1">
      <alignment/>
    </xf>
    <xf numFmtId="0" fontId="12" fillId="0" borderId="0" xfId="25" applyFont="1">
      <alignment/>
      <protection/>
    </xf>
    <xf numFmtId="15" fontId="12" fillId="0" borderId="0" xfId="25" applyNumberFormat="1" applyFont="1">
      <alignment/>
      <protection/>
    </xf>
    <xf numFmtId="39" fontId="12" fillId="0" borderId="0" xfId="25" applyNumberFormat="1" applyFont="1">
      <alignment/>
      <protection/>
    </xf>
    <xf numFmtId="0" fontId="14" fillId="0" borderId="0" xfId="25" applyFont="1" applyAlignment="1" applyProtection="1">
      <alignment horizontal="center"/>
      <protection/>
    </xf>
    <xf numFmtId="0" fontId="13" fillId="0" borderId="0" xfId="25" applyFont="1" applyAlignment="1">
      <alignment horizontal="center"/>
      <protection/>
    </xf>
    <xf numFmtId="0" fontId="12" fillId="0" borderId="0" xfId="25" applyFont="1" applyAlignment="1">
      <alignment horizontal="center"/>
      <protection/>
    </xf>
    <xf numFmtId="0" fontId="13" fillId="0" borderId="7" xfId="25" applyFont="1" applyBorder="1">
      <alignment/>
      <protection/>
    </xf>
    <xf numFmtId="15" fontId="12" fillId="0" borderId="8" xfId="25" applyNumberFormat="1" applyFont="1" applyBorder="1">
      <alignment/>
      <protection/>
    </xf>
    <xf numFmtId="39" fontId="12" fillId="0" borderId="8" xfId="25" applyNumberFormat="1" applyFont="1" applyBorder="1">
      <alignment/>
      <protection/>
    </xf>
    <xf numFmtId="39" fontId="12" fillId="0" borderId="9" xfId="25" applyNumberFormat="1" applyFont="1" applyBorder="1">
      <alignment/>
      <protection/>
    </xf>
    <xf numFmtId="0" fontId="12" fillId="0" borderId="9" xfId="25" applyFont="1" applyBorder="1" applyAlignment="1">
      <alignment horizontal="center"/>
      <protection/>
    </xf>
    <xf numFmtId="0" fontId="13" fillId="0" borderId="0" xfId="25" applyFont="1" applyAlignment="1">
      <alignment horizontal="right"/>
      <protection/>
    </xf>
    <xf numFmtId="0" fontId="12" fillId="0" borderId="10" xfId="25" applyFont="1" applyBorder="1">
      <alignment/>
      <protection/>
    </xf>
    <xf numFmtId="0" fontId="12" fillId="0" borderId="0" xfId="25" applyFont="1" applyBorder="1">
      <alignment/>
      <protection/>
    </xf>
    <xf numFmtId="8" fontId="12" fillId="0" borderId="11" xfId="25" applyNumberFormat="1" applyFont="1" applyBorder="1">
      <alignment/>
      <protection/>
    </xf>
    <xf numFmtId="0" fontId="13" fillId="0" borderId="11" xfId="25" applyFont="1" applyBorder="1" applyAlignment="1">
      <alignment horizontal="center"/>
      <protection/>
    </xf>
    <xf numFmtId="0" fontId="15" fillId="0" borderId="0" xfId="25" applyFont="1" applyAlignment="1">
      <alignment horizontal="center"/>
      <protection/>
    </xf>
    <xf numFmtId="39" fontId="12" fillId="0" borderId="0" xfId="25" applyNumberFormat="1" applyFont="1" applyBorder="1">
      <alignment/>
      <protection/>
    </xf>
    <xf numFmtId="8" fontId="12" fillId="0" borderId="12" xfId="25" applyNumberFormat="1" applyFont="1" applyBorder="1">
      <alignment/>
      <protection/>
    </xf>
    <xf numFmtId="6" fontId="15" fillId="0" borderId="11" xfId="25" applyNumberFormat="1" applyFont="1" applyBorder="1" applyAlignment="1">
      <alignment horizontal="center"/>
      <protection/>
    </xf>
    <xf numFmtId="5" fontId="12" fillId="0" borderId="0" xfId="25" applyNumberFormat="1" applyFont="1" applyAlignment="1">
      <alignment horizontal="center"/>
      <protection/>
    </xf>
    <xf numFmtId="10" fontId="12" fillId="0" borderId="11" xfId="25" applyNumberFormat="1" applyFont="1" applyBorder="1">
      <alignment/>
      <protection/>
    </xf>
    <xf numFmtId="8" fontId="13" fillId="0" borderId="11" xfId="25" applyNumberFormat="1" applyFont="1" applyBorder="1" applyAlignment="1">
      <alignment horizontal="center"/>
      <protection/>
    </xf>
    <xf numFmtId="0" fontId="12" fillId="0" borderId="13" xfId="25" applyFont="1" applyBorder="1">
      <alignment/>
      <protection/>
    </xf>
    <xf numFmtId="15" fontId="12" fillId="0" borderId="4" xfId="25" applyNumberFormat="1" applyFont="1" applyBorder="1">
      <alignment/>
      <protection/>
    </xf>
    <xf numFmtId="39" fontId="12" fillId="0" borderId="4" xfId="25" applyNumberFormat="1" applyFont="1" applyBorder="1">
      <alignment/>
      <protection/>
    </xf>
    <xf numFmtId="39" fontId="12" fillId="0" borderId="12" xfId="25" applyNumberFormat="1" applyFont="1" applyBorder="1">
      <alignment/>
      <protection/>
    </xf>
    <xf numFmtId="0" fontId="13" fillId="0" borderId="12" xfId="25" applyFont="1" applyBorder="1" applyAlignment="1">
      <alignment horizontal="center"/>
      <protection/>
    </xf>
    <xf numFmtId="10" fontId="12" fillId="0" borderId="0" xfId="25" applyNumberFormat="1" applyFont="1" applyBorder="1">
      <alignment/>
      <protection/>
    </xf>
    <xf numFmtId="15" fontId="13" fillId="0" borderId="2" xfId="25" applyNumberFormat="1" applyFont="1" applyBorder="1">
      <alignment/>
      <protection/>
    </xf>
    <xf numFmtId="10" fontId="13" fillId="0" borderId="3" xfId="25" applyNumberFormat="1" applyFont="1" applyBorder="1" applyAlignment="1">
      <alignment horizontal="right"/>
      <protection/>
    </xf>
    <xf numFmtId="1" fontId="13" fillId="0" borderId="0" xfId="25" applyNumberFormat="1" applyFont="1" applyAlignment="1">
      <alignment horizontal="center"/>
      <protection/>
    </xf>
    <xf numFmtId="39" fontId="13" fillId="0" borderId="0" xfId="25" applyNumberFormat="1" applyFont="1" applyAlignment="1">
      <alignment horizontal="center"/>
      <protection/>
    </xf>
    <xf numFmtId="15" fontId="12" fillId="0" borderId="0" xfId="25" applyNumberFormat="1" applyFont="1" applyBorder="1">
      <alignment/>
      <protection/>
    </xf>
    <xf numFmtId="15" fontId="13" fillId="0" borderId="0" xfId="25" applyNumberFormat="1" applyFont="1" applyAlignment="1">
      <alignment horizontal="center"/>
      <protection/>
    </xf>
    <xf numFmtId="0" fontId="13" fillId="0" borderId="0" xfId="25" applyFont="1">
      <alignment/>
      <protection/>
    </xf>
    <xf numFmtId="39" fontId="12" fillId="0" borderId="0" xfId="25" applyNumberFormat="1" applyFont="1" applyAlignment="1">
      <alignment horizontal="right"/>
      <protection/>
    </xf>
    <xf numFmtId="8" fontId="12" fillId="0" borderId="0" xfId="25" applyNumberFormat="1" applyFont="1">
      <alignment/>
      <protection/>
    </xf>
    <xf numFmtId="8" fontId="13" fillId="0" borderId="0" xfId="25" applyNumberFormat="1" applyFont="1">
      <alignment/>
      <protection/>
    </xf>
    <xf numFmtId="0" fontId="12" fillId="0" borderId="0" xfId="25" applyFont="1" applyAlignment="1">
      <alignment horizontal="right"/>
      <protection/>
    </xf>
    <xf numFmtId="14" fontId="12" fillId="0" borderId="0" xfId="25" applyNumberFormat="1" applyFont="1">
      <alignment/>
      <protection/>
    </xf>
    <xf numFmtId="39" fontId="13" fillId="0" borderId="0" xfId="25" applyNumberFormat="1" applyFont="1">
      <alignment/>
      <protection/>
    </xf>
    <xf numFmtId="186" fontId="8" fillId="0" borderId="1" xfId="24" applyNumberFormat="1" applyFont="1" applyBorder="1" applyAlignment="1" applyProtection="1">
      <alignment horizontal="center"/>
      <protection/>
    </xf>
    <xf numFmtId="186" fontId="22" fillId="0" borderId="1" xfId="24" applyNumberFormat="1" applyFont="1" applyBorder="1" applyProtection="1">
      <alignment/>
      <protection/>
    </xf>
    <xf numFmtId="10" fontId="8" fillId="0" borderId="1" xfId="24" applyNumberFormat="1" applyFont="1" applyBorder="1" applyProtection="1">
      <alignment/>
      <protection/>
    </xf>
    <xf numFmtId="186" fontId="7" fillId="0" borderId="1" xfId="24" applyNumberFormat="1" applyFont="1" applyBorder="1">
      <alignment/>
      <protection/>
    </xf>
    <xf numFmtId="37" fontId="13" fillId="0" borderId="0" xfId="22" applyFont="1" applyAlignment="1" applyProtection="1">
      <alignment horizontal="left"/>
      <protection/>
    </xf>
    <xf numFmtId="5" fontId="13" fillId="0" borderId="5" xfId="22" applyNumberFormat="1" applyFont="1" applyBorder="1" applyProtection="1">
      <alignment/>
      <protection/>
    </xf>
    <xf numFmtId="5" fontId="13" fillId="0" borderId="0" xfId="0" applyNumberFormat="1" applyFont="1" applyAlignment="1">
      <alignment/>
    </xf>
    <xf numFmtId="5" fontId="13" fillId="0" borderId="5" xfId="0" applyNumberFormat="1" applyFont="1" applyBorder="1" applyAlignment="1">
      <alignment/>
    </xf>
    <xf numFmtId="186" fontId="7" fillId="0" borderId="5" xfId="0" applyNumberFormat="1" applyFont="1" applyFill="1" applyBorder="1" applyAlignment="1">
      <alignment/>
    </xf>
    <xf numFmtId="186" fontId="7" fillId="0" borderId="5" xfId="0" applyNumberFormat="1" applyFont="1" applyBorder="1" applyAlignment="1">
      <alignment/>
    </xf>
    <xf numFmtId="7" fontId="7" fillId="0" borderId="0" xfId="29" applyNumberFormat="1" applyFont="1">
      <alignment/>
      <protection/>
    </xf>
    <xf numFmtId="15" fontId="15" fillId="0" borderId="0" xfId="26" applyNumberFormat="1" applyFont="1" applyAlignment="1">
      <alignment horizontal="center"/>
      <protection/>
    </xf>
    <xf numFmtId="39" fontId="15" fillId="0" borderId="0" xfId="26" applyNumberFormat="1" applyFont="1" applyAlignment="1">
      <alignment horizontal="center"/>
      <protection/>
    </xf>
    <xf numFmtId="15" fontId="15" fillId="0" borderId="0" xfId="25" applyNumberFormat="1" applyFont="1" applyAlignment="1">
      <alignment horizontal="center"/>
      <protection/>
    </xf>
    <xf numFmtId="39" fontId="15" fillId="0" borderId="0" xfId="25" applyNumberFormat="1" applyFont="1" applyAlignment="1">
      <alignment horizontal="center"/>
      <protection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 quotePrefix="1">
      <alignment/>
    </xf>
    <xf numFmtId="186" fontId="7" fillId="0" borderId="3" xfId="0" applyNumberFormat="1" applyFont="1" applyBorder="1" applyAlignment="1">
      <alignment/>
    </xf>
    <xf numFmtId="5" fontId="16" fillId="0" borderId="0" xfId="20" applyNumberFormat="1" applyFont="1" applyFill="1" applyBorder="1" applyProtection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Border="1" applyAlignment="1" applyProtection="1">
      <alignment/>
      <protection/>
    </xf>
    <xf numFmtId="0" fontId="13" fillId="0" borderId="0" xfId="20" applyFont="1" applyBorder="1" applyAlignment="1" applyProtection="1">
      <alignment horizontal="right"/>
      <protection/>
    </xf>
    <xf numFmtId="5" fontId="25" fillId="0" borderId="0" xfId="20" applyNumberFormat="1" applyFont="1">
      <alignment/>
      <protection/>
    </xf>
    <xf numFmtId="0" fontId="12" fillId="0" borderId="0" xfId="20" applyFont="1" applyBorder="1">
      <alignment/>
      <protection/>
    </xf>
    <xf numFmtId="5" fontId="13" fillId="0" borderId="5" xfId="20" applyNumberFormat="1" applyFont="1" applyBorder="1">
      <alignment/>
      <protection/>
    </xf>
    <xf numFmtId="214" fontId="12" fillId="0" borderId="0" xfId="28" applyFont="1">
      <alignment/>
      <protection/>
    </xf>
    <xf numFmtId="0" fontId="12" fillId="0" borderId="0" xfId="27" applyFont="1">
      <alignment/>
      <protection/>
    </xf>
    <xf numFmtId="0" fontId="12" fillId="2" borderId="0" xfId="27" applyFont="1" applyFill="1" applyAlignment="1">
      <alignment horizontal="left" wrapText="1"/>
      <protection/>
    </xf>
    <xf numFmtId="5" fontId="13" fillId="0" borderId="5" xfId="20" applyNumberFormat="1" applyFont="1" applyBorder="1" applyProtection="1">
      <alignment/>
      <protection/>
    </xf>
    <xf numFmtId="5" fontId="13" fillId="0" borderId="0" xfId="20" applyNumberFormat="1" applyFont="1" applyProtection="1">
      <alignment/>
      <protection/>
    </xf>
    <xf numFmtId="0" fontId="8" fillId="0" borderId="0" xfId="30" applyFont="1" applyFill="1">
      <alignment/>
      <protection/>
    </xf>
    <xf numFmtId="6" fontId="8" fillId="0" borderId="0" xfId="19" applyNumberFormat="1" applyFont="1" applyFill="1" applyProtection="1">
      <alignment/>
      <protection/>
    </xf>
    <xf numFmtId="0" fontId="8" fillId="0" borderId="0" xfId="19" applyFont="1" applyFill="1" applyBorder="1">
      <alignment/>
      <protection/>
    </xf>
    <xf numFmtId="5" fontId="12" fillId="0" borderId="4" xfId="20" applyNumberFormat="1" applyFont="1" applyBorder="1" applyProtection="1">
      <alignment/>
      <protection/>
    </xf>
    <xf numFmtId="186" fontId="8" fillId="0" borderId="0" xfId="17" applyNumberFormat="1" applyFont="1" applyBorder="1" applyAlignment="1">
      <alignment/>
    </xf>
    <xf numFmtId="10" fontId="8" fillId="0" borderId="0" xfId="31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5" fontId="8" fillId="0" borderId="0" xfId="0" applyNumberFormat="1" applyFont="1" applyFill="1" applyBorder="1" applyAlignment="1">
      <alignment/>
    </xf>
    <xf numFmtId="164" fontId="8" fillId="0" borderId="0" xfId="29" applyNumberFormat="1" applyFont="1" applyAlignment="1">
      <alignment horizontal="left"/>
      <protection/>
    </xf>
    <xf numFmtId="164" fontId="8" fillId="0" borderId="0" xfId="29" applyNumberFormat="1" applyFont="1" applyAlignment="1">
      <alignment horizontal="center"/>
      <protection/>
    </xf>
    <xf numFmtId="14" fontId="8" fillId="0" borderId="0" xfId="29" applyNumberFormat="1" applyFont="1">
      <alignment/>
      <protection/>
    </xf>
    <xf numFmtId="15" fontId="7" fillId="0" borderId="0" xfId="22" applyNumberFormat="1" applyFont="1" applyFill="1" applyAlignment="1" applyProtection="1">
      <alignment horizontal="centerContinuous"/>
      <protection/>
    </xf>
    <xf numFmtId="15" fontId="13" fillId="0" borderId="0" xfId="22" applyNumberFormat="1" applyFont="1" applyFill="1" applyAlignment="1" applyProtection="1">
      <alignment horizontal="centerContinuous"/>
      <protection/>
    </xf>
    <xf numFmtId="37" fontId="12" fillId="0" borderId="0" xfId="22" applyFont="1" applyFill="1" applyAlignment="1">
      <alignment horizontal="centerContinuous"/>
      <protection/>
    </xf>
    <xf numFmtId="0" fontId="12" fillId="0" borderId="0" xfId="0" applyFont="1" applyFill="1" applyAlignment="1">
      <alignment horizontal="centerContinuous"/>
    </xf>
    <xf numFmtId="5" fontId="12" fillId="0" borderId="0" xfId="22" applyNumberFormat="1" applyFont="1" applyFill="1" applyAlignment="1">
      <alignment horizontal="centerContinuous"/>
      <protection/>
    </xf>
    <xf numFmtId="37" fontId="12" fillId="0" borderId="0" xfId="22" applyFont="1" applyFill="1" applyAlignment="1" applyProtection="1">
      <alignment horizontal="centerContinuous"/>
      <protection/>
    </xf>
    <xf numFmtId="0" fontId="12" fillId="0" borderId="0" xfId="0" applyFont="1" applyFill="1" applyAlignment="1">
      <alignment/>
    </xf>
    <xf numFmtId="0" fontId="12" fillId="0" borderId="0" xfId="26" applyFont="1" applyFill="1">
      <alignment/>
      <protection/>
    </xf>
    <xf numFmtId="0" fontId="12" fillId="0" borderId="0" xfId="25" applyFont="1" applyFill="1">
      <alignment/>
      <protection/>
    </xf>
    <xf numFmtId="0" fontId="8" fillId="0" borderId="0" xfId="0" applyFont="1" applyFill="1" applyBorder="1" applyAlignment="1">
      <alignment/>
    </xf>
    <xf numFmtId="37" fontId="8" fillId="0" borderId="0" xfId="21" applyFont="1" applyFill="1">
      <alignment/>
      <protection/>
    </xf>
    <xf numFmtId="37" fontId="8" fillId="0" borderId="0" xfId="24" applyFont="1" applyFill="1" applyAlignment="1">
      <alignment horizontal="centerContinuous"/>
      <protection/>
    </xf>
    <xf numFmtId="5" fontId="8" fillId="0" borderId="4" xfId="24" applyNumberFormat="1" applyFont="1" applyFill="1" applyBorder="1" applyProtection="1">
      <alignment/>
      <protection/>
    </xf>
    <xf numFmtId="5" fontId="8" fillId="0" borderId="0" xfId="24" applyNumberFormat="1" applyFont="1" applyFill="1" applyBorder="1" applyProtection="1">
      <alignment/>
      <protection/>
    </xf>
    <xf numFmtId="5" fontId="8" fillId="0" borderId="0" xfId="17" applyNumberFormat="1" applyFont="1" applyFill="1" applyAlignment="1" applyProtection="1">
      <alignment horizontal="center"/>
      <protection/>
    </xf>
    <xf numFmtId="10" fontId="12" fillId="0" borderId="0" xfId="20" applyNumberFormat="1" applyFont="1" applyAlignment="1" applyProtection="1">
      <alignment horizontal="left"/>
      <protection/>
    </xf>
    <xf numFmtId="5" fontId="12" fillId="0" borderId="0" xfId="20" applyNumberFormat="1" applyFont="1" applyFill="1" applyBorder="1" applyProtection="1">
      <alignment/>
      <protection/>
    </xf>
    <xf numFmtId="5" fontId="7" fillId="0" borderId="5" xfId="21" applyNumberFormat="1" applyFont="1" applyBorder="1" applyAlignment="1" applyProtection="1">
      <alignment horizontal="center"/>
      <protection/>
    </xf>
    <xf numFmtId="10" fontId="8" fillId="0" borderId="0" xfId="21" applyNumberFormat="1" applyFont="1" applyAlignment="1" applyProtection="1">
      <alignment horizontal="center"/>
      <protection/>
    </xf>
    <xf numFmtId="5" fontId="8" fillId="0" borderId="0" xfId="21" applyNumberFormat="1" applyFont="1" applyAlignment="1" applyProtection="1">
      <alignment horizontal="center"/>
      <protection/>
    </xf>
    <xf numFmtId="5" fontId="8" fillId="0" borderId="0" xfId="21" applyNumberFormat="1" applyFont="1" applyAlignment="1">
      <alignment horizontal="center"/>
      <protection/>
    </xf>
    <xf numFmtId="165" fontId="8" fillId="0" borderId="0" xfId="21" applyNumberFormat="1" applyFont="1" applyAlignment="1" applyProtection="1">
      <alignment horizontal="center"/>
      <protection/>
    </xf>
    <xf numFmtId="8" fontId="12" fillId="0" borderId="0" xfId="25" applyNumberFormat="1" applyFont="1" applyBorder="1">
      <alignment/>
      <protection/>
    </xf>
    <xf numFmtId="8" fontId="25" fillId="0" borderId="0" xfId="25" applyNumberFormat="1" applyFont="1" applyBorder="1">
      <alignment/>
      <protection/>
    </xf>
    <xf numFmtId="10" fontId="13" fillId="0" borderId="0" xfId="25" applyNumberFormat="1" applyFont="1" applyBorder="1" applyAlignment="1">
      <alignment horizontal="right"/>
      <protection/>
    </xf>
    <xf numFmtId="10" fontId="12" fillId="0" borderId="0" xfId="28" applyFont="1" applyFill="1" applyAlignment="1" applyProtection="1">
      <alignment horizontal="center"/>
      <protection/>
    </xf>
    <xf numFmtId="5" fontId="8" fillId="0" borderId="0" xfId="21" applyNumberFormat="1" applyFont="1" applyFill="1" applyBorder="1" applyAlignment="1" applyProtection="1">
      <alignment horizontal="center"/>
      <protection/>
    </xf>
    <xf numFmtId="10" fontId="8" fillId="0" borderId="0" xfId="21" applyNumberFormat="1" applyFont="1" applyFill="1">
      <alignment/>
      <protection/>
    </xf>
    <xf numFmtId="10" fontId="8" fillId="0" borderId="4" xfId="21" applyNumberFormat="1" applyFont="1" applyFill="1" applyBorder="1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5" fontId="8" fillId="0" borderId="0" xfId="0" applyNumberFormat="1" applyFont="1" applyFill="1" applyAlignment="1">
      <alignment/>
    </xf>
    <xf numFmtId="0" fontId="8" fillId="0" borderId="0" xfId="19" applyFont="1" applyFill="1" applyBorder="1" applyAlignment="1">
      <alignment horizontal="center"/>
      <protection/>
    </xf>
    <xf numFmtId="6" fontId="8" fillId="0" borderId="4" xfId="0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6" fontId="8" fillId="0" borderId="5" xfId="0" applyNumberFormat="1" applyFont="1" applyFill="1" applyBorder="1" applyAlignment="1">
      <alignment/>
    </xf>
    <xf numFmtId="168" fontId="12" fillId="0" borderId="0" xfId="28" applyNumberFormat="1" applyFont="1" applyAlignment="1" applyProtection="1">
      <alignment horizontal="center"/>
      <protection/>
    </xf>
    <xf numFmtId="168" fontId="26" fillId="0" borderId="0" xfId="28" applyNumberFormat="1" applyFont="1" applyBorder="1" applyAlignment="1" applyProtection="1">
      <alignment horizontal="center"/>
      <protection/>
    </xf>
    <xf numFmtId="8" fontId="8" fillId="0" borderId="0" xfId="19" applyNumberFormat="1" applyFont="1" applyFill="1">
      <alignment/>
      <protection/>
    </xf>
    <xf numFmtId="8" fontId="8" fillId="0" borderId="0" xfId="19" applyNumberFormat="1" applyFont="1" applyBorder="1">
      <alignment/>
      <protection/>
    </xf>
    <xf numFmtId="10" fontId="8" fillId="0" borderId="0" xfId="19" applyNumberFormat="1" applyFont="1" applyFill="1" applyProtection="1">
      <alignment/>
      <protection/>
    </xf>
    <xf numFmtId="10" fontId="8" fillId="0" borderId="1" xfId="19" applyNumberFormat="1" applyFont="1" applyFill="1" applyBorder="1" applyProtection="1">
      <alignment/>
      <protection/>
    </xf>
    <xf numFmtId="10" fontId="8" fillId="0" borderId="5" xfId="19" applyNumberFormat="1" applyFont="1" applyFill="1" applyBorder="1" applyProtection="1">
      <alignment/>
      <protection/>
    </xf>
    <xf numFmtId="10" fontId="12" fillId="0" borderId="0" xfId="28" applyNumberFormat="1" applyFont="1" applyAlignment="1" applyProtection="1">
      <alignment horizontal="center"/>
      <protection/>
    </xf>
    <xf numFmtId="10" fontId="12" fillId="0" borderId="0" xfId="28" applyNumberFormat="1" applyFont="1" applyAlignment="1">
      <alignment horizontal="center"/>
      <protection/>
    </xf>
    <xf numFmtId="10" fontId="25" fillId="0" borderId="0" xfId="28" applyNumberFormat="1" applyFont="1" applyAlignment="1" applyProtection="1">
      <alignment horizontal="center"/>
      <protection/>
    </xf>
    <xf numFmtId="0" fontId="27" fillId="0" borderId="0" xfId="30" applyFont="1">
      <alignment/>
      <protection/>
    </xf>
    <xf numFmtId="0" fontId="12" fillId="2" borderId="0" xfId="27" applyFont="1" applyFill="1" applyAlignment="1">
      <alignment horizontal="left"/>
      <protection/>
    </xf>
    <xf numFmtId="6" fontId="8" fillId="0" borderId="0" xfId="0" applyNumberFormat="1" applyFont="1" applyFill="1" applyAlignment="1">
      <alignment horizontal="right"/>
    </xf>
    <xf numFmtId="0" fontId="7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12" fillId="0" borderId="0" xfId="0" applyFont="1" applyBorder="1" applyAlignment="1">
      <alignment/>
    </xf>
    <xf numFmtId="5" fontId="12" fillId="0" borderId="0" xfId="0" applyNumberFormat="1" applyFont="1" applyBorder="1" applyAlignment="1">
      <alignment/>
    </xf>
    <xf numFmtId="176" fontId="7" fillId="0" borderId="0" xfId="28" applyNumberFormat="1" applyFont="1" applyFill="1" applyAlignment="1" applyProtection="1">
      <alignment horizontal="centerContinuous"/>
      <protection/>
    </xf>
    <xf numFmtId="10" fontId="12" fillId="0" borderId="0" xfId="28" applyFont="1" applyFill="1" applyAlignment="1">
      <alignment horizontal="centerContinuous"/>
      <protection/>
    </xf>
    <xf numFmtId="0" fontId="7" fillId="0" borderId="0" xfId="19" applyFont="1" applyFill="1" applyBorder="1" applyAlignment="1">
      <alignment horizontal="center"/>
      <protection/>
    </xf>
    <xf numFmtId="0" fontId="19" fillId="0" borderId="0" xfId="19" applyFont="1" applyBorder="1" applyAlignment="1">
      <alignment horizontal="center"/>
      <protection/>
    </xf>
    <xf numFmtId="0" fontId="7" fillId="0" borderId="0" xfId="19" applyFont="1" applyBorder="1" applyAlignment="1" applyProtection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26" applyFont="1" applyFill="1" applyAlignment="1">
      <alignment horizontal="center"/>
      <protection/>
    </xf>
    <xf numFmtId="0" fontId="14" fillId="0" borderId="0" xfId="26" applyFont="1" applyAlignment="1">
      <alignment horizontal="center"/>
      <protection/>
    </xf>
    <xf numFmtId="0" fontId="13" fillId="0" borderId="0" xfId="25" applyFont="1" applyFill="1" applyAlignment="1">
      <alignment horizontal="center"/>
      <protection/>
    </xf>
    <xf numFmtId="0" fontId="7" fillId="0" borderId="0" xfId="29" applyFont="1" applyAlignment="1" applyProtection="1">
      <alignment horizontal="center"/>
      <protection/>
    </xf>
    <xf numFmtId="0" fontId="19" fillId="0" borderId="0" xfId="29" applyFont="1" applyAlignment="1" applyProtection="1" quotePrefix="1">
      <alignment horizontal="center"/>
      <protection/>
    </xf>
    <xf numFmtId="15" fontId="7" fillId="0" borderId="0" xfId="29" applyNumberFormat="1" applyFont="1" applyAlignment="1" applyProtection="1">
      <alignment horizontal="center"/>
      <protection/>
    </xf>
    <xf numFmtId="37" fontId="19" fillId="0" borderId="0" xfId="21" applyFont="1" applyAlignment="1" applyProtection="1">
      <alignment horizontal="center"/>
      <protection/>
    </xf>
    <xf numFmtId="15" fontId="7" fillId="0" borderId="0" xfId="21" applyNumberFormat="1" applyFont="1" applyAlignment="1" applyProtection="1">
      <alignment horizontal="center"/>
      <protection/>
    </xf>
    <xf numFmtId="176" fontId="7" fillId="0" borderId="0" xfId="23" applyNumberFormat="1" applyFont="1" applyFill="1" applyAlignment="1" applyProtection="1">
      <alignment horizontal="center"/>
      <protection/>
    </xf>
    <xf numFmtId="37" fontId="19" fillId="0" borderId="0" xfId="24" applyFont="1" applyAlignment="1" applyProtection="1">
      <alignment horizontal="center"/>
      <protection/>
    </xf>
    <xf numFmtId="37" fontId="7" fillId="0" borderId="0" xfId="24" applyFont="1" applyAlignment="1" applyProtection="1">
      <alignment horizontal="center"/>
      <protection/>
    </xf>
    <xf numFmtId="176" fontId="7" fillId="0" borderId="0" xfId="24" applyNumberFormat="1" applyFont="1" applyFill="1" applyAlignment="1" applyProtection="1" quotePrefix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MACAPST" xfId="19"/>
    <cellStyle name="Normal_AMORTONR" xfId="20"/>
    <cellStyle name="Normal_COSTOF" xfId="21"/>
    <cellStyle name="Normal_COSTOFD" xfId="22"/>
    <cellStyle name="Normal_COSTOFNO" xfId="23"/>
    <cellStyle name="Normal_COSTOFPR" xfId="24"/>
    <cellStyle name="Normal_Effective Rate '97" xfId="25"/>
    <cellStyle name="Normal_Effective Rate on 1995 Conservation" xfId="26"/>
    <cellStyle name="Normal_LIBOR" xfId="27"/>
    <cellStyle name="Normal_RATEOFRE" xfId="28"/>
    <cellStyle name="Normal_SCHEDULE" xfId="29"/>
    <cellStyle name="Normal_Sheet1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Sept97\COC%20Sept97%20Electric%20&amp;%20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Sept97\COC%20Sept97%20Electr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"/>
      <sheetName val="CST Reaquired LTD! "/>
      <sheetName val="MISC LTD!"/>
      <sheetName val="CST STD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"/>
      <sheetName val="CST Reaquired LTD!"/>
      <sheetName val="CST Reaquired LTD! (2)"/>
      <sheetName val="MISC LTD!"/>
      <sheetName val="CST STD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3.8984375" style="266" customWidth="1"/>
    <col min="2" max="2" width="5.19921875" style="266" customWidth="1"/>
    <col min="3" max="3" width="17.3984375" style="266" customWidth="1"/>
    <col min="4" max="4" width="14" style="266" bestFit="1" customWidth="1"/>
    <col min="5" max="5" width="11.69921875" style="266" customWidth="1"/>
    <col min="6" max="6" width="7.59765625" style="266" customWidth="1"/>
    <col min="7" max="7" width="8.5" style="266" customWidth="1"/>
    <col min="8" max="16384" width="10" style="266" customWidth="1"/>
  </cols>
  <sheetData>
    <row r="1" spans="1:13" ht="15.75">
      <c r="A1" s="262" t="s">
        <v>0</v>
      </c>
      <c r="B1" s="264"/>
      <c r="C1" s="264"/>
      <c r="D1" s="264"/>
      <c r="E1" s="264"/>
      <c r="F1" s="264"/>
      <c r="G1" s="264"/>
      <c r="H1" s="265"/>
      <c r="I1" s="265"/>
      <c r="J1" s="265"/>
      <c r="K1" s="265"/>
      <c r="L1" s="265"/>
      <c r="M1" s="265"/>
    </row>
    <row r="2" spans="1:28" ht="12.75">
      <c r="A2" s="267"/>
      <c r="B2" s="268"/>
      <c r="C2" s="268"/>
      <c r="D2" s="268"/>
      <c r="E2" s="268"/>
      <c r="F2" s="268"/>
      <c r="G2" s="268"/>
      <c r="AA2" s="269"/>
      <c r="AB2" s="269"/>
    </row>
    <row r="3" spans="1:28" ht="15.75">
      <c r="A3" s="263" t="s">
        <v>176</v>
      </c>
      <c r="B3" s="268"/>
      <c r="C3" s="268"/>
      <c r="D3" s="64"/>
      <c r="E3" s="268"/>
      <c r="F3" s="268"/>
      <c r="G3" s="268"/>
      <c r="AB3" s="269"/>
    </row>
    <row r="4" spans="1:28" ht="15.75">
      <c r="A4" s="263" t="s">
        <v>177</v>
      </c>
      <c r="B4" s="268"/>
      <c r="C4" s="268"/>
      <c r="D4" s="64"/>
      <c r="E4" s="268"/>
      <c r="F4" s="268"/>
      <c r="G4" s="268"/>
      <c r="AB4" s="269"/>
    </row>
    <row r="5" spans="1:7" ht="15.75">
      <c r="A5" s="263" t="s">
        <v>189</v>
      </c>
      <c r="B5" s="268"/>
      <c r="C5" s="268"/>
      <c r="D5" s="64"/>
      <c r="E5" s="268"/>
      <c r="F5" s="268"/>
      <c r="G5" s="268"/>
    </row>
    <row r="6" spans="1:7" ht="15.75">
      <c r="A6" s="263" t="s">
        <v>63</v>
      </c>
      <c r="B6" s="268"/>
      <c r="C6" s="268"/>
      <c r="D6" s="64"/>
      <c r="E6" s="268"/>
      <c r="F6" s="268"/>
      <c r="G6" s="268"/>
    </row>
    <row r="7" spans="1:7" s="276" customFormat="1" ht="15.75">
      <c r="A7" s="514" t="s">
        <v>270</v>
      </c>
      <c r="B7" s="515"/>
      <c r="C7" s="515"/>
      <c r="D7" s="464"/>
      <c r="E7" s="515"/>
      <c r="F7" s="515"/>
      <c r="G7" s="515"/>
    </row>
    <row r="8" spans="1:4" ht="12.75">
      <c r="A8" s="287">
        <v>1</v>
      </c>
      <c r="D8" s="85"/>
    </row>
    <row r="9" spans="1:4" ht="12.75">
      <c r="A9" s="287">
        <v>2</v>
      </c>
      <c r="D9" s="85"/>
    </row>
    <row r="10" ht="12.75">
      <c r="A10" s="287">
        <v>3</v>
      </c>
    </row>
    <row r="11" ht="12.75">
      <c r="A11" s="287">
        <v>4</v>
      </c>
    </row>
    <row r="12" ht="12.75">
      <c r="A12" s="287">
        <v>5</v>
      </c>
    </row>
    <row r="13" spans="1:7" ht="12.75">
      <c r="A13" s="287">
        <v>6</v>
      </c>
      <c r="C13" s="280" t="s">
        <v>1</v>
      </c>
      <c r="D13" s="281"/>
      <c r="E13" s="281"/>
      <c r="F13" s="281"/>
      <c r="G13" s="281" t="s">
        <v>179</v>
      </c>
    </row>
    <row r="14" spans="1:7" ht="12.75">
      <c r="A14" s="287">
        <v>7</v>
      </c>
      <c r="C14" s="281"/>
      <c r="D14" s="271" t="s">
        <v>2</v>
      </c>
      <c r="E14" s="281"/>
      <c r="F14" s="281"/>
      <c r="G14" s="271" t="s">
        <v>180</v>
      </c>
    </row>
    <row r="15" spans="1:7" ht="12.75">
      <c r="A15" s="287">
        <v>8</v>
      </c>
      <c r="C15" s="272" t="s">
        <v>127</v>
      </c>
      <c r="D15" s="272" t="s">
        <v>70</v>
      </c>
      <c r="E15" s="272" t="s">
        <v>178</v>
      </c>
      <c r="F15" s="272" t="s">
        <v>38</v>
      </c>
      <c r="G15" s="272" t="s">
        <v>181</v>
      </c>
    </row>
    <row r="16" spans="1:7" ht="12.75">
      <c r="A16" s="287">
        <v>9</v>
      </c>
      <c r="C16" s="269"/>
      <c r="D16" s="269"/>
      <c r="E16" s="269"/>
      <c r="F16" s="269"/>
      <c r="G16" s="269"/>
    </row>
    <row r="17" spans="1:8" ht="12.75">
      <c r="A17" s="287">
        <v>10</v>
      </c>
      <c r="C17" s="273" t="s">
        <v>182</v>
      </c>
      <c r="D17" s="288">
        <f>'CAP STRC CALC (page 2)'!L10</f>
        <v>0</v>
      </c>
      <c r="E17" s="497">
        <f>'CAP STRC CALC (page 2)'!M10</f>
        <v>0</v>
      </c>
      <c r="F17" s="282">
        <f>'Cost STD (page 11)'!F13</f>
        <v>0.0625</v>
      </c>
      <c r="G17" s="282">
        <f>ROUND(E17*F17,4)</f>
        <v>0</v>
      </c>
      <c r="H17" s="442"/>
    </row>
    <row r="18" spans="1:7" ht="12.75">
      <c r="A18" s="287">
        <v>11</v>
      </c>
      <c r="C18" s="269"/>
      <c r="D18" s="289"/>
      <c r="E18" s="497"/>
      <c r="F18" s="282"/>
      <c r="G18" s="282"/>
    </row>
    <row r="19" spans="1:7" ht="12.75">
      <c r="A19" s="287">
        <v>12</v>
      </c>
      <c r="C19" s="273" t="s">
        <v>183</v>
      </c>
      <c r="D19" s="289">
        <f>'CAP STRC CALC (page 2)'!L11</f>
        <v>1934546</v>
      </c>
      <c r="E19" s="504">
        <f>'CAP STRC CALC (page 2)'!M11</f>
        <v>0.4566</v>
      </c>
      <c r="F19" s="283">
        <f>'Proforma Cost of Debt (page 5)'!K45</f>
        <v>0.074</v>
      </c>
      <c r="G19" s="282">
        <f>ROUND(E19*F19,4)</f>
        <v>0.0338</v>
      </c>
    </row>
    <row r="20" spans="1:7" ht="12.75">
      <c r="A20" s="287">
        <v>13</v>
      </c>
      <c r="C20" s="270"/>
      <c r="D20" s="290"/>
      <c r="E20" s="504"/>
      <c r="F20" s="280"/>
      <c r="G20" s="280"/>
    </row>
    <row r="21" spans="1:7" ht="12.75">
      <c r="A21" s="287">
        <v>14</v>
      </c>
      <c r="C21" s="270" t="s">
        <v>153</v>
      </c>
      <c r="D21" s="291">
        <f>'CAP STRC CALC (page 2)'!L13</f>
        <v>300000</v>
      </c>
      <c r="E21" s="504">
        <f>'CAP STRC CALC (page 2)'!M13</f>
        <v>0.0708</v>
      </c>
      <c r="F21" s="280">
        <f>'Cost of Preferred Stk (page 12)'!H23</f>
        <v>0.0858</v>
      </c>
      <c r="G21" s="282">
        <f>ROUND(E21*F21,4)</f>
        <v>0.0061</v>
      </c>
    </row>
    <row r="22" spans="1:7" ht="12.75">
      <c r="A22" s="287">
        <v>15</v>
      </c>
      <c r="D22" s="290"/>
      <c r="E22" s="505"/>
      <c r="F22" s="280"/>
      <c r="G22" s="280"/>
    </row>
    <row r="23" spans="1:7" ht="12.75">
      <c r="A23" s="287">
        <v>16</v>
      </c>
      <c r="C23" s="273" t="s">
        <v>184</v>
      </c>
      <c r="D23" s="289">
        <f>'CAP STRC CALC (page 2)'!L14</f>
        <v>95662</v>
      </c>
      <c r="E23" s="504">
        <f>'CAP STRC CALC (page 2)'!M14</f>
        <v>0.0226</v>
      </c>
      <c r="F23" s="282">
        <f>'Cost of Preferred Stk (page 12)'!H33</f>
        <v>0.0778</v>
      </c>
      <c r="G23" s="282">
        <f>ROUND(E23*F23,4)</f>
        <v>0.0018</v>
      </c>
    </row>
    <row r="24" spans="1:7" ht="12.75">
      <c r="A24" s="287">
        <v>17</v>
      </c>
      <c r="C24" s="270"/>
      <c r="D24" s="289"/>
      <c r="E24" s="504"/>
      <c r="F24" s="280"/>
      <c r="G24" s="280"/>
    </row>
    <row r="25" spans="1:7" ht="12.75">
      <c r="A25" s="287">
        <v>18</v>
      </c>
      <c r="C25" s="273" t="s">
        <v>185</v>
      </c>
      <c r="D25" s="292">
        <f>'CAP STRC CALC (page 2)'!L16</f>
        <v>1906686</v>
      </c>
      <c r="E25" s="506">
        <f>'CAP STRC CALC (page 2)'!M16</f>
        <v>0.45</v>
      </c>
      <c r="F25" s="486">
        <v>0.14</v>
      </c>
      <c r="G25" s="284">
        <f>ROUND(E25*F25,4)</f>
        <v>0.063</v>
      </c>
    </row>
    <row r="26" spans="1:7" ht="12.75">
      <c r="A26" s="287">
        <v>19</v>
      </c>
      <c r="C26" s="270"/>
      <c r="D26" s="282"/>
      <c r="E26" s="497"/>
      <c r="F26" s="280"/>
      <c r="G26" s="282"/>
    </row>
    <row r="27" spans="1:7" ht="12.75">
      <c r="A27" s="287">
        <v>20</v>
      </c>
      <c r="C27" s="273" t="s">
        <v>84</v>
      </c>
      <c r="D27" s="293">
        <f>ROUND(SUM(D17:D25),2)</f>
        <v>4236894</v>
      </c>
      <c r="E27" s="498">
        <f>ROUND(SUM(E17:E25),4)</f>
        <v>1</v>
      </c>
      <c r="F27" s="285"/>
      <c r="G27" s="286">
        <f>ROUND(SUM(G17:G25),4)</f>
        <v>0.1047</v>
      </c>
    </row>
    <row r="28" ht="12.75">
      <c r="A28" s="287">
        <v>21</v>
      </c>
    </row>
    <row r="29" ht="12.75">
      <c r="A29" s="287">
        <v>22</v>
      </c>
    </row>
    <row r="30" spans="1:3" ht="12.75">
      <c r="A30" s="287">
        <v>23</v>
      </c>
      <c r="C30" s="269" t="s">
        <v>251</v>
      </c>
    </row>
    <row r="31" spans="1:6" ht="12.75">
      <c r="A31" s="265"/>
      <c r="C31" s="275"/>
      <c r="D31" s="276"/>
      <c r="E31" s="276"/>
      <c r="F31" s="277"/>
    </row>
    <row r="32" ht="12.75">
      <c r="A32" s="265"/>
    </row>
    <row r="33" ht="12.75">
      <c r="A33" s="265"/>
    </row>
    <row r="34" ht="12.75">
      <c r="A34" s="265"/>
    </row>
    <row r="35" ht="12.75">
      <c r="A35" s="265"/>
    </row>
    <row r="36" ht="12.75">
      <c r="A36" s="265"/>
    </row>
    <row r="37" ht="12.75">
      <c r="A37" s="265"/>
    </row>
    <row r="38" ht="12.75">
      <c r="A38" s="265"/>
    </row>
    <row r="39" ht="12.75">
      <c r="A39" s="265"/>
    </row>
    <row r="44" spans="4:5" ht="12.75">
      <c r="D44" s="278"/>
      <c r="E44" s="274"/>
    </row>
    <row r="45" ht="12.75">
      <c r="E45" s="274"/>
    </row>
    <row r="46" spans="4:5" ht="12.75">
      <c r="D46" s="278"/>
      <c r="E46" s="274"/>
    </row>
    <row r="47" spans="4:5" ht="12.75">
      <c r="D47" s="278"/>
      <c r="E47" s="274"/>
    </row>
    <row r="48" spans="4:5" ht="12.75">
      <c r="D48" s="278"/>
      <c r="E48" s="274"/>
    </row>
    <row r="49" spans="4:5" ht="12.75">
      <c r="D49" s="278"/>
      <c r="E49" s="274"/>
    </row>
    <row r="50" ht="12.75">
      <c r="E50" s="274"/>
    </row>
    <row r="51" spans="4:5" ht="12.75">
      <c r="D51" s="278"/>
      <c r="E51" s="274"/>
    </row>
    <row r="52" ht="12.75">
      <c r="E52" s="279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 xml:space="preserve">&amp;R&amp;"Times New Roman,Regular" Page 1 </oddHeader>
    <oddFooter>&amp;L&amp;"Times New Roman,Regular"&amp;10&amp;F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showGridLines="0" workbookViewId="0" topLeftCell="C1">
      <selection activeCell="D34" sqref="D34"/>
    </sheetView>
  </sheetViews>
  <sheetFormatPr defaultColWidth="8.796875" defaultRowHeight="15"/>
  <cols>
    <col min="1" max="1" width="15.8984375" style="134" bestFit="1" customWidth="1"/>
    <col min="2" max="2" width="36.3984375" style="134" customWidth="1"/>
    <col min="3" max="3" width="14.59765625" style="134" bestFit="1" customWidth="1"/>
    <col min="4" max="4" width="9" style="134" bestFit="1" customWidth="1"/>
    <col min="5" max="5" width="11.69921875" style="134" bestFit="1" customWidth="1"/>
    <col min="6" max="6" width="10.5" style="134" bestFit="1" customWidth="1"/>
    <col min="7" max="7" width="11.09765625" style="134" customWidth="1"/>
    <col min="8" max="8" width="10.19921875" style="134" customWidth="1"/>
    <col min="9" max="253" width="7.59765625" style="134" customWidth="1"/>
    <col min="254" max="16384" width="10" style="134" customWidth="1"/>
  </cols>
  <sheetData>
    <row r="1" spans="1:6" ht="15.75">
      <c r="A1" s="529" t="s">
        <v>85</v>
      </c>
      <c r="B1" s="529"/>
      <c r="C1" s="529"/>
      <c r="D1" s="529"/>
      <c r="E1" s="529"/>
      <c r="F1" s="529"/>
    </row>
    <row r="2" spans="1:6" ht="16.5" customHeight="1">
      <c r="A2" s="530" t="s">
        <v>124</v>
      </c>
      <c r="B2" s="530"/>
      <c r="C2" s="530"/>
      <c r="D2" s="530"/>
      <c r="E2" s="530"/>
      <c r="F2" s="530"/>
    </row>
    <row r="3" spans="1:6" s="471" customFormat="1" ht="15.75">
      <c r="A3" s="531" t="str">
        <f>'Cost of Cap. (page 1)'!A7</f>
        <v>Cause No. ____________</v>
      </c>
      <c r="B3" s="531"/>
      <c r="C3" s="531"/>
      <c r="D3" s="531"/>
      <c r="E3" s="531"/>
      <c r="F3" s="531"/>
    </row>
    <row r="4" spans="1:6" ht="15.75">
      <c r="A4" s="135">
        <v>1</v>
      </c>
      <c r="B4" s="1"/>
      <c r="C4" s="136"/>
      <c r="D4" s="1"/>
      <c r="E4" s="136"/>
      <c r="F4" s="136"/>
    </row>
    <row r="5" ht="15.75">
      <c r="A5" s="135">
        <v>2</v>
      </c>
    </row>
    <row r="6" spans="1:6" ht="15.75">
      <c r="A6" s="135">
        <v>3</v>
      </c>
      <c r="B6" s="137"/>
      <c r="C6" s="138" t="s">
        <v>2</v>
      </c>
      <c r="D6" s="139" t="s">
        <v>15</v>
      </c>
      <c r="E6" s="138"/>
      <c r="F6" s="138"/>
    </row>
    <row r="7" spans="1:6" ht="15.75">
      <c r="A7" s="135">
        <v>4</v>
      </c>
      <c r="B7" s="140"/>
      <c r="C7" s="140" t="s">
        <v>125</v>
      </c>
      <c r="D7" s="141" t="s">
        <v>126</v>
      </c>
      <c r="E7" s="141" t="s">
        <v>39</v>
      </c>
      <c r="F7" s="142"/>
    </row>
    <row r="8" spans="1:6" ht="15.75">
      <c r="A8" s="135">
        <v>5</v>
      </c>
      <c r="B8" s="140" t="s">
        <v>127</v>
      </c>
      <c r="C8" s="143" t="s">
        <v>112</v>
      </c>
      <c r="D8" s="141" t="s">
        <v>42</v>
      </c>
      <c r="E8" s="141" t="s">
        <v>74</v>
      </c>
      <c r="F8" s="141" t="s">
        <v>99</v>
      </c>
    </row>
    <row r="9" spans="1:6" ht="15.75">
      <c r="A9" s="135">
        <v>6</v>
      </c>
      <c r="B9" s="144"/>
      <c r="C9" s="144"/>
      <c r="D9" s="145"/>
      <c r="E9" s="145"/>
      <c r="F9" s="135"/>
    </row>
    <row r="10" spans="1:7" ht="15.75">
      <c r="A10" s="135">
        <v>7</v>
      </c>
      <c r="B10" s="135" t="s">
        <v>248</v>
      </c>
      <c r="C10" s="475">
        <v>301571000</v>
      </c>
      <c r="D10" s="479">
        <f>D35</f>
        <v>0.059300000000000005</v>
      </c>
      <c r="E10" s="480">
        <f>ROUND(C10*D10,0)</f>
        <v>17883160</v>
      </c>
      <c r="F10" s="147"/>
      <c r="G10" s="148"/>
    </row>
    <row r="11" spans="1:7" ht="15.75">
      <c r="A11" s="135">
        <v>8</v>
      </c>
      <c r="B11" s="137"/>
      <c r="C11" s="137"/>
      <c r="D11" s="481"/>
      <c r="E11" s="482"/>
      <c r="F11" s="147"/>
      <c r="G11" s="148"/>
    </row>
    <row r="12" spans="1:7" ht="15.75">
      <c r="A12" s="135">
        <v>9</v>
      </c>
      <c r="B12" s="135" t="s">
        <v>249</v>
      </c>
      <c r="C12" s="135"/>
      <c r="D12" s="481"/>
      <c r="E12" s="487">
        <f>ROUND((375000000*0.0009*5/12)+(375000000*0.0026*7/12)+(375000000*0.0033/3*7/12),0)</f>
        <v>950000</v>
      </c>
      <c r="F12" s="147"/>
      <c r="G12" s="148"/>
    </row>
    <row r="13" spans="1:7" ht="16.5" thickBot="1">
      <c r="A13" s="135">
        <v>10</v>
      </c>
      <c r="B13" s="149" t="s">
        <v>128</v>
      </c>
      <c r="C13" s="478">
        <f>SUM(C10:C12)</f>
        <v>301571000</v>
      </c>
      <c r="D13" s="150"/>
      <c r="E13" s="478">
        <f>SUM(E10:E12)</f>
        <v>18833160</v>
      </c>
      <c r="F13" s="151">
        <f>ROUND(E13/C13,4)</f>
        <v>0.0625</v>
      </c>
      <c r="G13" s="148"/>
    </row>
    <row r="14" spans="1:7" ht="16.5" thickTop="1">
      <c r="A14" s="135">
        <v>11</v>
      </c>
      <c r="D14" s="145"/>
      <c r="F14" s="152"/>
      <c r="G14" s="153"/>
    </row>
    <row r="15" spans="1:7" ht="15.75">
      <c r="A15" s="135">
        <v>12</v>
      </c>
      <c r="G15" s="148"/>
    </row>
    <row r="16" spans="1:7" ht="15.75">
      <c r="A16" s="135">
        <v>13</v>
      </c>
      <c r="B16" s="134" t="s">
        <v>252</v>
      </c>
      <c r="G16" s="148"/>
    </row>
    <row r="17" spans="1:7" ht="15.75">
      <c r="A17" s="135">
        <v>14</v>
      </c>
      <c r="F17" s="148"/>
      <c r="G17" s="148"/>
    </row>
    <row r="18" spans="1:7" ht="15.75">
      <c r="A18" s="135">
        <v>15</v>
      </c>
      <c r="B18" s="154" t="s">
        <v>129</v>
      </c>
      <c r="F18" s="148"/>
      <c r="G18" s="148"/>
    </row>
    <row r="19" spans="1:7" ht="15.75">
      <c r="A19" s="135">
        <v>16</v>
      </c>
      <c r="F19" s="148"/>
      <c r="G19" s="148"/>
    </row>
    <row r="20" spans="1:7" ht="15.75">
      <c r="A20" s="135">
        <v>17</v>
      </c>
      <c r="B20" s="61" t="s">
        <v>272</v>
      </c>
      <c r="C20" s="144"/>
      <c r="F20" s="148"/>
      <c r="G20" s="148"/>
    </row>
    <row r="21" spans="1:7" ht="15.75">
      <c r="A21" s="135">
        <v>18</v>
      </c>
      <c r="B21" s="61"/>
      <c r="C21" s="144"/>
      <c r="F21" s="148"/>
      <c r="G21" s="148"/>
    </row>
    <row r="22" spans="1:7" ht="15.75">
      <c r="A22" s="135">
        <v>19</v>
      </c>
      <c r="B22" s="444" t="s">
        <v>221</v>
      </c>
      <c r="C22" s="144"/>
      <c r="F22" s="148"/>
      <c r="G22" s="148"/>
    </row>
    <row r="23" spans="1:7" ht="15.75">
      <c r="A23" s="135">
        <v>20</v>
      </c>
      <c r="B23" s="443" t="s">
        <v>271</v>
      </c>
      <c r="C23" s="144"/>
      <c r="F23" s="148"/>
      <c r="G23" s="148"/>
    </row>
    <row r="24" spans="1:7" ht="15.75">
      <c r="A24" s="135">
        <v>21</v>
      </c>
      <c r="B24" s="508" t="s">
        <v>273</v>
      </c>
      <c r="C24" s="144"/>
      <c r="F24" s="148"/>
      <c r="G24" s="148"/>
    </row>
    <row r="25" spans="1:7" ht="15.75">
      <c r="A25" s="135">
        <v>22</v>
      </c>
      <c r="F25" s="148"/>
      <c r="G25" s="148"/>
    </row>
    <row r="26" spans="1:5" ht="15.75">
      <c r="A26" s="135">
        <v>23</v>
      </c>
      <c r="B26" s="144" t="s">
        <v>130</v>
      </c>
      <c r="D26" s="155">
        <v>0.0433</v>
      </c>
      <c r="E26" s="155"/>
    </row>
    <row r="27" spans="1:5" ht="15.75">
      <c r="A27" s="135">
        <v>24</v>
      </c>
      <c r="B27" s="144" t="s">
        <v>131</v>
      </c>
      <c r="D27" s="155">
        <v>0.0462</v>
      </c>
      <c r="E27" s="155"/>
    </row>
    <row r="28" spans="1:5" ht="15.75">
      <c r="A28" s="135">
        <v>25</v>
      </c>
      <c r="B28" s="144" t="s">
        <v>132</v>
      </c>
      <c r="D28" s="155">
        <v>0.0489</v>
      </c>
      <c r="E28" s="155"/>
    </row>
    <row r="29" spans="1:5" ht="12.75" customHeight="1">
      <c r="A29" s="135">
        <v>26</v>
      </c>
      <c r="B29" s="144" t="s">
        <v>133</v>
      </c>
      <c r="D29" s="156">
        <v>0.0509</v>
      </c>
      <c r="E29" s="155"/>
    </row>
    <row r="30" spans="1:7" ht="15.75">
      <c r="A30" s="135">
        <v>27</v>
      </c>
      <c r="B30" s="134" t="s">
        <v>134</v>
      </c>
      <c r="D30" s="155">
        <f>ROUND(AVERAGE(D26:D29),4)</f>
        <v>0.0473</v>
      </c>
      <c r="F30" s="148"/>
      <c r="G30" s="148"/>
    </row>
    <row r="31" spans="1:7" ht="15.75">
      <c r="A31" s="135">
        <v>28</v>
      </c>
      <c r="F31" s="148"/>
      <c r="G31" s="148"/>
    </row>
    <row r="32" spans="1:7" ht="15.75">
      <c r="A32" s="135">
        <v>29</v>
      </c>
      <c r="B32" s="134" t="s">
        <v>135</v>
      </c>
      <c r="C32" s="488">
        <v>0.0339</v>
      </c>
      <c r="D32" s="488"/>
      <c r="F32" s="148"/>
      <c r="G32" s="148"/>
    </row>
    <row r="33" spans="1:4" ht="15.75">
      <c r="A33" s="135">
        <v>30</v>
      </c>
      <c r="B33" s="2" t="s">
        <v>136</v>
      </c>
      <c r="C33" s="489">
        <v>0.0219</v>
      </c>
      <c r="D33" s="488"/>
    </row>
    <row r="34" spans="1:4" ht="15.75">
      <c r="A34" s="135">
        <v>31</v>
      </c>
      <c r="B34" s="134" t="s">
        <v>137</v>
      </c>
      <c r="C34" s="155"/>
      <c r="D34" s="156">
        <f>C32-C33</f>
        <v>0.012</v>
      </c>
    </row>
    <row r="35" spans="1:5" ht="16.5" thickBot="1">
      <c r="A35" s="135">
        <v>32</v>
      </c>
      <c r="B35" s="157" t="s">
        <v>138</v>
      </c>
      <c r="C35" s="158"/>
      <c r="D35" s="159">
        <f>D30+D34</f>
        <v>0.059300000000000005</v>
      </c>
      <c r="E35" s="157" t="s">
        <v>15</v>
      </c>
    </row>
    <row r="36" spans="1:7" ht="16.5" thickTop="1">
      <c r="A36" s="135">
        <v>33</v>
      </c>
      <c r="E36" s="160"/>
      <c r="F36" s="148"/>
      <c r="G36" s="148"/>
    </row>
    <row r="37" spans="1:7" ht="15.75">
      <c r="A37" s="135">
        <v>34</v>
      </c>
      <c r="E37" s="160"/>
      <c r="F37" s="148"/>
      <c r="G37" s="148"/>
    </row>
    <row r="38" spans="1:7" ht="15.75">
      <c r="A38" s="135">
        <v>35</v>
      </c>
      <c r="B38" s="134" t="s">
        <v>139</v>
      </c>
      <c r="E38" s="160"/>
      <c r="F38" s="148"/>
      <c r="G38" s="148"/>
    </row>
    <row r="39" spans="1:7" ht="15.75">
      <c r="A39" s="135"/>
      <c r="E39" s="160"/>
      <c r="F39" s="148"/>
      <c r="G39" s="148"/>
    </row>
    <row r="40" spans="1:6" ht="15.75">
      <c r="A40" s="135"/>
      <c r="F40" s="148"/>
    </row>
    <row r="41" spans="1:7" ht="15.75">
      <c r="A41" s="135"/>
      <c r="F41" s="148"/>
      <c r="G41" s="148"/>
    </row>
    <row r="50" spans="2:3" ht="15.75">
      <c r="B50" s="160"/>
      <c r="C50" s="160"/>
    </row>
    <row r="51" spans="2:3" ht="15.75">
      <c r="B51" s="144"/>
      <c r="C51" s="144"/>
    </row>
    <row r="79" ht="15.75">
      <c r="E79" s="160"/>
    </row>
    <row r="81" ht="15.75">
      <c r="E81" s="160"/>
    </row>
    <row r="84" ht="15.75">
      <c r="E84" s="160"/>
    </row>
    <row r="85" ht="15.75">
      <c r="E85" s="160"/>
    </row>
    <row r="90" ht="15.75">
      <c r="E90" s="160"/>
    </row>
    <row r="91" ht="15.75">
      <c r="E91" s="160"/>
    </row>
    <row r="98" ht="15.75">
      <c r="D98" s="161"/>
    </row>
    <row r="99" ht="15.75">
      <c r="D99" s="162"/>
    </row>
    <row r="101" ht="15.75">
      <c r="D101" s="161"/>
    </row>
    <row r="102" ht="15.75">
      <c r="D102" s="146"/>
    </row>
  </sheetData>
  <mergeCells count="3">
    <mergeCell ref="A1:F1"/>
    <mergeCell ref="A2:F2"/>
    <mergeCell ref="A3:F3"/>
  </mergeCells>
  <printOptions horizontalCentered="1" verticalCentered="1"/>
  <pageMargins left="0.5" right="0.5" top="1" bottom="0.5" header="0.5" footer="0.5"/>
  <pageSetup fitToHeight="1" fitToWidth="1" horizontalDpi="300" verticalDpi="300" orientation="portrait" scale="88" r:id="rId1"/>
  <headerFooter alignWithMargins="0">
    <oddHeader xml:space="preserve">&amp;R&amp;"Times New Roman,Regular"Page 11    </oddHeader>
    <oddFooter>&amp;L&amp;"Times New Roman,Regular"&amp;10&amp;F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workbookViewId="0" topLeftCell="A1">
      <selection activeCell="B44" sqref="B44"/>
    </sheetView>
  </sheetViews>
  <sheetFormatPr defaultColWidth="8.796875" defaultRowHeight="15"/>
  <cols>
    <col min="1" max="1" width="6.59765625" style="166" customWidth="1"/>
    <col min="2" max="2" width="37.5" style="164" customWidth="1"/>
    <col min="3" max="3" width="10.8984375" style="164" bestFit="1" customWidth="1"/>
    <col min="4" max="5" width="14.09765625" style="164" bestFit="1" customWidth="1"/>
    <col min="6" max="6" width="12.8984375" style="164" bestFit="1" customWidth="1"/>
    <col min="7" max="7" width="16.19921875" style="164" customWidth="1"/>
    <col min="8" max="8" width="12.5" style="164" customWidth="1"/>
    <col min="9" max="9" width="12.09765625" style="164" bestFit="1" customWidth="1"/>
    <col min="10" max="10" width="10.59765625" style="164" bestFit="1" customWidth="1"/>
    <col min="11" max="11" width="11.69921875" style="164" bestFit="1" customWidth="1"/>
    <col min="12" max="12" width="12.5" style="164" bestFit="1" customWidth="1"/>
    <col min="13" max="13" width="8.5" style="164" customWidth="1"/>
    <col min="14" max="14" width="8.5" style="164" bestFit="1" customWidth="1"/>
    <col min="15" max="15" width="8.8984375" style="164" customWidth="1"/>
    <col min="16" max="16" width="11.69921875" style="164" bestFit="1" customWidth="1"/>
    <col min="17" max="17" width="10.19921875" style="164" customWidth="1"/>
    <col min="18" max="18" width="10" style="164" customWidth="1"/>
    <col min="19" max="16384" width="7.59765625" style="164" customWidth="1"/>
  </cols>
  <sheetData>
    <row r="1" spans="1:9" ht="15.75">
      <c r="A1" s="532" t="s">
        <v>85</v>
      </c>
      <c r="B1" s="532"/>
      <c r="C1" s="532"/>
      <c r="D1" s="532"/>
      <c r="E1" s="532"/>
      <c r="F1" s="532"/>
      <c r="G1" s="532"/>
      <c r="H1" s="532"/>
      <c r="I1" s="163"/>
    </row>
    <row r="2" spans="1:9" ht="15.75">
      <c r="A2" s="533" t="s">
        <v>140</v>
      </c>
      <c r="B2" s="533"/>
      <c r="C2" s="533"/>
      <c r="D2" s="533"/>
      <c r="E2" s="533"/>
      <c r="F2" s="533"/>
      <c r="G2" s="533"/>
      <c r="H2" s="533"/>
      <c r="I2" s="163"/>
    </row>
    <row r="3" spans="1:9" s="294" customFormat="1" ht="15.75">
      <c r="A3" s="531" t="str">
        <f>'Cost of Cap. (page 1)'!A7</f>
        <v>Cause No. ____________</v>
      </c>
      <c r="B3" s="531"/>
      <c r="C3" s="531"/>
      <c r="D3" s="531"/>
      <c r="E3" s="531"/>
      <c r="F3" s="531"/>
      <c r="G3" s="531"/>
      <c r="H3" s="531"/>
      <c r="I3" s="472"/>
    </row>
    <row r="4" ht="15.75">
      <c r="A4" s="166">
        <v>1</v>
      </c>
    </row>
    <row r="5" spans="1:9" ht="15.75">
      <c r="A5" s="166">
        <v>2</v>
      </c>
      <c r="C5" s="167"/>
      <c r="D5" s="167"/>
      <c r="E5" s="167"/>
      <c r="F5" s="166" t="s">
        <v>2</v>
      </c>
      <c r="H5" s="167"/>
      <c r="I5" s="167"/>
    </row>
    <row r="6" spans="1:8" ht="15.75">
      <c r="A6" s="166">
        <v>3</v>
      </c>
      <c r="B6" s="166" t="s">
        <v>1</v>
      </c>
      <c r="C6" s="165"/>
      <c r="D6" s="165" t="s">
        <v>125</v>
      </c>
      <c r="E6" s="165" t="s">
        <v>141</v>
      </c>
      <c r="F6" s="165" t="s">
        <v>38</v>
      </c>
      <c r="G6" s="165" t="s">
        <v>73</v>
      </c>
      <c r="H6" s="165" t="s">
        <v>38</v>
      </c>
    </row>
    <row r="7" spans="1:8" ht="15.75">
      <c r="A7" s="166">
        <v>4</v>
      </c>
      <c r="B7" s="168" t="s">
        <v>33</v>
      </c>
      <c r="C7" s="168" t="s">
        <v>40</v>
      </c>
      <c r="D7" s="168" t="s">
        <v>112</v>
      </c>
      <c r="E7" s="168" t="s">
        <v>47</v>
      </c>
      <c r="F7" s="168" t="s">
        <v>42</v>
      </c>
      <c r="G7" s="168" t="s">
        <v>38</v>
      </c>
      <c r="H7" s="168" t="s">
        <v>42</v>
      </c>
    </row>
    <row r="8" spans="1:8" ht="15.75">
      <c r="A8" s="166">
        <v>5</v>
      </c>
      <c r="B8" s="168"/>
      <c r="C8" s="168"/>
      <c r="D8" s="168"/>
      <c r="E8" s="168"/>
      <c r="F8" s="168"/>
      <c r="G8" s="168"/>
      <c r="H8" s="168"/>
    </row>
    <row r="9" spans="1:5" ht="15.75">
      <c r="A9" s="166">
        <v>6</v>
      </c>
      <c r="B9" s="169" t="s">
        <v>142</v>
      </c>
      <c r="E9" s="170" t="s">
        <v>1</v>
      </c>
    </row>
    <row r="10" spans="1:8" ht="15.75">
      <c r="A10" s="166">
        <v>7</v>
      </c>
      <c r="B10" s="171" t="s">
        <v>25</v>
      </c>
      <c r="C10" s="172">
        <v>100</v>
      </c>
      <c r="D10" s="173">
        <f>L56*1000</f>
        <v>1480800</v>
      </c>
      <c r="E10" s="174">
        <f>ROUND(+D10*(P56/K56),0)</f>
        <v>1449210</v>
      </c>
      <c r="F10" s="175">
        <f>Q56</f>
        <v>0.0495</v>
      </c>
      <c r="G10" s="174">
        <f>ROUND(+F10*D10,0)</f>
        <v>73300</v>
      </c>
      <c r="H10" s="175"/>
    </row>
    <row r="11" spans="1:8" ht="15.75">
      <c r="A11" s="166">
        <v>8</v>
      </c>
      <c r="B11" s="171" t="s">
        <v>26</v>
      </c>
      <c r="C11" s="172">
        <v>100</v>
      </c>
      <c r="D11" s="173">
        <f>L57*1000</f>
        <v>431100</v>
      </c>
      <c r="E11" s="174">
        <f>ROUND(+D11*(P57/K57),0)</f>
        <v>424702</v>
      </c>
      <c r="F11" s="175">
        <f>Q57</f>
        <v>0.0477</v>
      </c>
      <c r="G11" s="174">
        <f>ROUND(+F11*D11,0)</f>
        <v>20563</v>
      </c>
      <c r="H11" s="175"/>
    </row>
    <row r="12" spans="1:8" ht="15.75">
      <c r="A12" s="166">
        <v>9</v>
      </c>
      <c r="B12" s="171" t="s">
        <v>27</v>
      </c>
      <c r="C12" s="172">
        <v>100</v>
      </c>
      <c r="D12" s="176">
        <f>L58*1000</f>
        <v>48750000</v>
      </c>
      <c r="E12" s="177">
        <f>ROUND(+D12*(P58/K58),0)</f>
        <v>48238815</v>
      </c>
      <c r="F12" s="178">
        <f>Q58</f>
        <v>0.0783</v>
      </c>
      <c r="G12" s="177">
        <f>ROUND(+F12*D12,0)</f>
        <v>3817125</v>
      </c>
      <c r="H12" s="175"/>
    </row>
    <row r="13" ht="15.75">
      <c r="A13" s="166">
        <v>10</v>
      </c>
    </row>
    <row r="14" spans="1:8" ht="15.75">
      <c r="A14" s="166">
        <v>11</v>
      </c>
      <c r="B14" s="169" t="s">
        <v>143</v>
      </c>
      <c r="D14" s="173"/>
      <c r="E14" s="174"/>
      <c r="F14" s="175"/>
      <c r="G14" s="174"/>
      <c r="H14" s="175"/>
    </row>
    <row r="15" spans="1:8" s="182" customFormat="1" ht="15.75">
      <c r="A15" s="166">
        <v>12</v>
      </c>
      <c r="B15" s="179" t="s">
        <v>28</v>
      </c>
      <c r="C15" s="172">
        <v>25</v>
      </c>
      <c r="D15" s="176">
        <f>L60*1000</f>
        <v>60000000</v>
      </c>
      <c r="E15" s="173">
        <f>ROUND(+D15*(P60/K60),0)</f>
        <v>57874000</v>
      </c>
      <c r="F15" s="180">
        <f>Q60</f>
        <v>0.0772</v>
      </c>
      <c r="G15" s="176">
        <f>ROUND(+F15*D15,0)</f>
        <v>4632000</v>
      </c>
      <c r="H15" s="181"/>
    </row>
    <row r="16" spans="1:7" ht="15.75">
      <c r="A16" s="166">
        <v>13</v>
      </c>
      <c r="B16" s="164" t="s">
        <v>144</v>
      </c>
      <c r="D16" s="174"/>
      <c r="E16" s="174"/>
      <c r="G16" s="174"/>
    </row>
    <row r="17" spans="1:7" ht="15.75">
      <c r="A17" s="166">
        <v>14</v>
      </c>
      <c r="B17" s="171" t="s">
        <v>191</v>
      </c>
      <c r="D17" s="183"/>
      <c r="E17" s="174"/>
      <c r="G17" s="473">
        <f>' Reacquired Pref Stk (page 13)'!K32</f>
        <v>82451</v>
      </c>
    </row>
    <row r="18" spans="1:8" s="182" customFormat="1" ht="15.75">
      <c r="A18" s="166">
        <v>15</v>
      </c>
      <c r="B18" s="184" t="s">
        <v>145</v>
      </c>
      <c r="C18" s="185"/>
      <c r="D18" s="186">
        <f>SUM(D10:D12)+D15</f>
        <v>110661900</v>
      </c>
      <c r="G18" s="187">
        <f>SUM(G10:G12)+G15+G17</f>
        <v>8625439</v>
      </c>
      <c r="H18" s="181">
        <f>ROUND(+G18/D18,4)</f>
        <v>0.0779</v>
      </c>
    </row>
    <row r="19" spans="1:8" s="182" customFormat="1" ht="15.75">
      <c r="A19" s="166">
        <v>16</v>
      </c>
      <c r="B19" s="184"/>
      <c r="C19" s="185"/>
      <c r="D19" s="173"/>
      <c r="E19" s="173"/>
      <c r="F19" s="180"/>
      <c r="G19" s="173"/>
      <c r="H19" s="181"/>
    </row>
    <row r="20" spans="1:2" ht="15.75">
      <c r="A20" s="166">
        <v>17</v>
      </c>
      <c r="B20" s="188" t="s">
        <v>146</v>
      </c>
    </row>
    <row r="21" spans="1:8" ht="15.75">
      <c r="A21" s="166">
        <v>18</v>
      </c>
      <c r="B21" s="171" t="s">
        <v>67</v>
      </c>
      <c r="C21" s="172">
        <v>100</v>
      </c>
      <c r="D21" s="189">
        <f>F67</f>
        <v>100000000</v>
      </c>
      <c r="E21" s="174">
        <f>D21*G67/100</f>
        <v>98690000</v>
      </c>
      <c r="F21" s="175">
        <f>H67</f>
        <v>0.0835</v>
      </c>
      <c r="G21" s="174">
        <f>ROUND(+F21*D21,0)</f>
        <v>8350000</v>
      </c>
      <c r="H21" s="175"/>
    </row>
    <row r="22" spans="1:8" ht="15.75">
      <c r="A22" s="166">
        <v>19</v>
      </c>
      <c r="B22" s="171" t="s">
        <v>65</v>
      </c>
      <c r="C22" s="172">
        <v>100</v>
      </c>
      <c r="D22" s="190">
        <f>F68</f>
        <v>200000000</v>
      </c>
      <c r="E22" s="174">
        <f>D22*G68/100</f>
        <v>193494000</v>
      </c>
      <c r="F22" s="175">
        <f>H68</f>
        <v>0.0869</v>
      </c>
      <c r="G22" s="183">
        <f>ROUND(+F22*D22,0)</f>
        <v>17380000</v>
      </c>
      <c r="H22" s="175"/>
    </row>
    <row r="23" spans="1:8" ht="15.75">
      <c r="A23" s="166">
        <v>20</v>
      </c>
      <c r="B23" s="191" t="s">
        <v>211</v>
      </c>
      <c r="C23" s="185"/>
      <c r="D23" s="173">
        <f>SUM(D21:D22)</f>
        <v>300000000</v>
      </c>
      <c r="E23" s="174"/>
      <c r="F23" s="175"/>
      <c r="G23" s="174">
        <f>SUM(G21:G22)</f>
        <v>25730000</v>
      </c>
      <c r="H23" s="181">
        <f>ROUND(+G23/D23,4)</f>
        <v>0.0858</v>
      </c>
    </row>
    <row r="24" spans="1:7" ht="15.75">
      <c r="A24" s="166">
        <v>21</v>
      </c>
      <c r="D24" s="174"/>
      <c r="E24" s="174"/>
      <c r="G24" s="174"/>
    </row>
    <row r="25" spans="1:10" ht="16.5" thickBot="1">
      <c r="A25" s="166">
        <v>22</v>
      </c>
      <c r="B25" s="192" t="s">
        <v>212</v>
      </c>
      <c r="C25" s="200"/>
      <c r="D25" s="202">
        <f>D18+D23</f>
        <v>410661900</v>
      </c>
      <c r="E25" s="202">
        <f>SUM(E10:E12)+E15+E21+E22</f>
        <v>400170727</v>
      </c>
      <c r="F25" s="200"/>
      <c r="G25" s="202">
        <f>G18+G23</f>
        <v>34355439</v>
      </c>
      <c r="H25" s="203">
        <f>ROUND(+G25/D25,4)</f>
        <v>0.0837</v>
      </c>
      <c r="J25" s="175"/>
    </row>
    <row r="26" spans="1:9" ht="16.5" thickTop="1">
      <c r="A26" s="166">
        <v>23</v>
      </c>
      <c r="E26" s="195"/>
      <c r="F26" s="195"/>
      <c r="G26" s="196"/>
      <c r="H26" s="195"/>
      <c r="I26" s="196"/>
    </row>
    <row r="27" spans="1:8" ht="15.75">
      <c r="A27" s="166">
        <v>24</v>
      </c>
      <c r="B27" s="188" t="s">
        <v>97</v>
      </c>
      <c r="E27" s="174"/>
      <c r="F27" s="174"/>
      <c r="H27" s="174"/>
    </row>
    <row r="28" spans="1:8" ht="15.75">
      <c r="A28" s="166">
        <v>25</v>
      </c>
      <c r="E28" s="174"/>
      <c r="F28" s="174"/>
      <c r="H28" s="197"/>
    </row>
    <row r="29" spans="1:8" ht="15.75">
      <c r="A29" s="166">
        <v>26</v>
      </c>
      <c r="B29" s="164" t="s">
        <v>190</v>
      </c>
      <c r="C29" s="172">
        <v>100</v>
      </c>
      <c r="D29" s="187">
        <v>-15000000</v>
      </c>
      <c r="E29" s="173">
        <f>ROUND(+D29*(P58/K58),0)</f>
        <v>-14842712</v>
      </c>
      <c r="F29" s="175">
        <f>Q58</f>
        <v>0.0783</v>
      </c>
      <c r="G29" s="177">
        <f>ROUND(+F29*D29,0)</f>
        <v>-1174500</v>
      </c>
      <c r="H29" s="197"/>
    </row>
    <row r="30" spans="1:8" ht="15.75">
      <c r="A30" s="166">
        <v>27</v>
      </c>
      <c r="B30" s="164" t="s">
        <v>144</v>
      </c>
      <c r="C30" s="172"/>
      <c r="D30" s="187"/>
      <c r="E30" s="173"/>
      <c r="F30" s="175"/>
      <c r="G30" s="177"/>
      <c r="H30" s="197"/>
    </row>
    <row r="31" spans="1:8" ht="15.75">
      <c r="A31" s="166">
        <v>28</v>
      </c>
      <c r="B31" s="171" t="s">
        <v>213</v>
      </c>
      <c r="C31" s="172"/>
      <c r="D31" s="187"/>
      <c r="E31" s="173"/>
      <c r="F31" s="175"/>
      <c r="G31" s="474">
        <f>' Reacquired Pref Stk (page 13)'!K37</f>
        <v>-13178</v>
      </c>
      <c r="H31" s="197"/>
    </row>
    <row r="32" spans="1:8" ht="15.75">
      <c r="A32" s="166">
        <v>29</v>
      </c>
      <c r="C32" s="172"/>
      <c r="D32" s="198"/>
      <c r="E32" s="189"/>
      <c r="F32" s="175"/>
      <c r="G32" s="177"/>
      <c r="H32" s="197"/>
    </row>
    <row r="33" spans="1:8" ht="15.75">
      <c r="A33" s="166">
        <v>30</v>
      </c>
      <c r="B33" s="167" t="s">
        <v>210</v>
      </c>
      <c r="C33" s="416"/>
      <c r="D33" s="419">
        <f>D18+D29</f>
        <v>95661900</v>
      </c>
      <c r="E33" s="417"/>
      <c r="F33" s="418"/>
      <c r="G33" s="193">
        <f>G18+G29+G31</f>
        <v>7437761</v>
      </c>
      <c r="H33" s="194">
        <f>ROUND(+G33/D33,4)</f>
        <v>0.0778</v>
      </c>
    </row>
    <row r="34" spans="1:8" ht="15.75">
      <c r="A34" s="166">
        <v>31</v>
      </c>
      <c r="D34" s="198"/>
      <c r="E34" s="199"/>
      <c r="F34" s="174"/>
      <c r="H34" s="197"/>
    </row>
    <row r="35" spans="1:8" ht="16.5" thickBot="1">
      <c r="A35" s="166">
        <v>32</v>
      </c>
      <c r="B35" s="167" t="s">
        <v>147</v>
      </c>
      <c r="C35" s="200"/>
      <c r="D35" s="201">
        <f>D25+D29</f>
        <v>395661900</v>
      </c>
      <c r="E35" s="201">
        <f>E25+E29</f>
        <v>385328015</v>
      </c>
      <c r="F35" s="202"/>
      <c r="G35" s="201">
        <f>G25+G29+G31</f>
        <v>33167761</v>
      </c>
      <c r="H35" s="203">
        <f>ROUND(+G35/D35,4)</f>
        <v>0.0838</v>
      </c>
    </row>
    <row r="36" spans="1:8" ht="16.5" thickTop="1">
      <c r="A36" s="166">
        <v>33</v>
      </c>
      <c r="E36" s="174"/>
      <c r="F36" s="174"/>
      <c r="H36" s="197"/>
    </row>
    <row r="37" spans="1:8" ht="15.75">
      <c r="A37" s="166">
        <v>34</v>
      </c>
      <c r="E37" s="174"/>
      <c r="F37" s="174"/>
      <c r="H37" s="197"/>
    </row>
    <row r="38" spans="1:8" ht="15.75">
      <c r="A38" s="166">
        <v>35</v>
      </c>
      <c r="E38" s="174"/>
      <c r="F38" s="174"/>
      <c r="H38" s="174"/>
    </row>
    <row r="39" spans="1:8" ht="15.75">
      <c r="A39" s="166">
        <v>36</v>
      </c>
      <c r="B39" s="171" t="s">
        <v>148</v>
      </c>
      <c r="H39" s="174"/>
    </row>
    <row r="40" spans="1:8" ht="15.75">
      <c r="A40" s="166">
        <v>37</v>
      </c>
      <c r="B40" s="171" t="s">
        <v>149</v>
      </c>
      <c r="H40" s="174"/>
    </row>
    <row r="41" spans="1:8" ht="15.75">
      <c r="A41" s="166">
        <v>38</v>
      </c>
      <c r="B41" s="171"/>
      <c r="H41" s="174"/>
    </row>
    <row r="42" spans="1:5" ht="15.75">
      <c r="A42" s="166">
        <v>39</v>
      </c>
      <c r="B42" s="204" t="s">
        <v>274</v>
      </c>
      <c r="D42" s="294"/>
      <c r="E42" s="294"/>
    </row>
    <row r="43" spans="1:2" ht="15.75">
      <c r="A43" s="166">
        <v>40</v>
      </c>
      <c r="B43" s="2"/>
    </row>
    <row r="44" spans="1:2" ht="15.75">
      <c r="A44" s="166">
        <v>41</v>
      </c>
      <c r="B44" s="164" t="s">
        <v>275</v>
      </c>
    </row>
    <row r="46" ht="15.75">
      <c r="B46" s="171"/>
    </row>
    <row r="48" spans="7:15" ht="15.75">
      <c r="G48" s="165" t="s">
        <v>29</v>
      </c>
      <c r="O48" s="205"/>
    </row>
    <row r="49" ht="15.75">
      <c r="G49" s="165" t="s">
        <v>30</v>
      </c>
    </row>
    <row r="50" ht="15.75">
      <c r="G50" s="206" t="str">
        <f>A3</f>
        <v>Cause No. ____________</v>
      </c>
    </row>
    <row r="51" ht="15.75">
      <c r="I51" s="207"/>
    </row>
    <row r="52" spans="2:18" ht="15.75">
      <c r="B52" s="171" t="s">
        <v>1</v>
      </c>
      <c r="D52" s="171" t="s">
        <v>1</v>
      </c>
      <c r="E52" s="185" t="s">
        <v>33</v>
      </c>
      <c r="I52" s="207" t="s">
        <v>32</v>
      </c>
      <c r="J52" s="207" t="s">
        <v>32</v>
      </c>
      <c r="K52" s="208" t="s">
        <v>33</v>
      </c>
      <c r="L52" s="208" t="s">
        <v>34</v>
      </c>
      <c r="N52" s="208" t="s">
        <v>35</v>
      </c>
      <c r="O52" s="208" t="s">
        <v>36</v>
      </c>
      <c r="P52" s="208" t="s">
        <v>37</v>
      </c>
      <c r="Q52" s="207" t="s">
        <v>38</v>
      </c>
      <c r="R52" s="208" t="s">
        <v>39</v>
      </c>
    </row>
    <row r="53" spans="4:18" ht="15.75">
      <c r="D53" s="208" t="s">
        <v>40</v>
      </c>
      <c r="E53" s="185" t="s">
        <v>31</v>
      </c>
      <c r="I53" s="207" t="s">
        <v>41</v>
      </c>
      <c r="J53" s="207" t="s">
        <v>34</v>
      </c>
      <c r="K53" s="208" t="s">
        <v>43</v>
      </c>
      <c r="L53" s="208" t="s">
        <v>44</v>
      </c>
      <c r="M53" s="208" t="s">
        <v>45</v>
      </c>
      <c r="N53" s="208" t="s">
        <v>46</v>
      </c>
      <c r="O53" s="208" t="s">
        <v>46</v>
      </c>
      <c r="P53" s="208" t="s">
        <v>47</v>
      </c>
      <c r="Q53" s="207" t="s">
        <v>48</v>
      </c>
      <c r="R53" s="208" t="s">
        <v>38</v>
      </c>
    </row>
    <row r="54" spans="4:18" ht="15.75">
      <c r="D54" s="208" t="s">
        <v>49</v>
      </c>
      <c r="E54" s="208" t="s">
        <v>50</v>
      </c>
      <c r="G54" s="207" t="s">
        <v>51</v>
      </c>
      <c r="H54" s="207" t="s">
        <v>52</v>
      </c>
      <c r="I54" s="207" t="s">
        <v>50</v>
      </c>
      <c r="J54" s="207" t="s">
        <v>53</v>
      </c>
      <c r="K54" s="208" t="s">
        <v>51</v>
      </c>
      <c r="L54" s="208" t="s">
        <v>53</v>
      </c>
      <c r="M54" s="208" t="s">
        <v>53</v>
      </c>
      <c r="N54" s="208" t="s">
        <v>54</v>
      </c>
      <c r="O54" s="208" t="s">
        <v>52</v>
      </c>
      <c r="P54" s="208" t="s">
        <v>54</v>
      </c>
      <c r="Q54" s="207" t="s">
        <v>52</v>
      </c>
      <c r="R54" s="208" t="s">
        <v>55</v>
      </c>
    </row>
    <row r="55" ht="15.75">
      <c r="B55" s="169" t="s">
        <v>142</v>
      </c>
    </row>
    <row r="56" spans="2:18" ht="15.75">
      <c r="B56" s="171" t="s">
        <v>56</v>
      </c>
      <c r="D56" s="174">
        <v>100</v>
      </c>
      <c r="E56" s="185">
        <v>22830</v>
      </c>
      <c r="G56" s="209">
        <v>102</v>
      </c>
      <c r="H56" s="175">
        <v>0.0484</v>
      </c>
      <c r="I56" s="210">
        <v>150000</v>
      </c>
      <c r="J56" s="210">
        <f>L56/100*1000</f>
        <v>14808</v>
      </c>
      <c r="K56" s="197">
        <v>15000</v>
      </c>
      <c r="L56" s="211">
        <v>1480.8</v>
      </c>
      <c r="M56" s="197"/>
      <c r="N56" s="197">
        <v>247.5</v>
      </c>
      <c r="O56" s="197">
        <v>72.5</v>
      </c>
      <c r="P56" s="197">
        <f>K56-N56-O56+M56</f>
        <v>14680</v>
      </c>
      <c r="Q56" s="175">
        <f>ROUND(H56/(P56/K56),4)</f>
        <v>0.0495</v>
      </c>
      <c r="R56" s="197">
        <f>Q56*L56</f>
        <v>73.2996</v>
      </c>
    </row>
    <row r="57" spans="2:18" ht="15.75">
      <c r="B57" s="171" t="s">
        <v>26</v>
      </c>
      <c r="D57" s="174">
        <v>100</v>
      </c>
      <c r="E57" s="185">
        <v>23516</v>
      </c>
      <c r="G57" s="209">
        <v>101</v>
      </c>
      <c r="H57" s="175">
        <v>0.047</v>
      </c>
      <c r="I57" s="210">
        <v>150000</v>
      </c>
      <c r="J57" s="210">
        <f>L57/100*1000</f>
        <v>4311</v>
      </c>
      <c r="K57" s="197">
        <v>15000</v>
      </c>
      <c r="L57" s="211">
        <v>431.1</v>
      </c>
      <c r="M57" s="197"/>
      <c r="N57" s="197">
        <v>187.5</v>
      </c>
      <c r="O57" s="197">
        <v>35.1</v>
      </c>
      <c r="P57" s="197">
        <f>K57-N57-O57+M57</f>
        <v>14777.4</v>
      </c>
      <c r="Q57" s="175">
        <f>ROUND(H57/(P57/K57),4)</f>
        <v>0.0477</v>
      </c>
      <c r="R57" s="197">
        <f>Q57*L57</f>
        <v>20.563470000000002</v>
      </c>
    </row>
    <row r="58" spans="2:18" ht="15.75">
      <c r="B58" s="171" t="s">
        <v>57</v>
      </c>
      <c r="D58" s="174">
        <v>100</v>
      </c>
      <c r="E58" s="185">
        <v>33688</v>
      </c>
      <c r="G58" s="209">
        <v>103</v>
      </c>
      <c r="H58" s="175">
        <v>0.0775</v>
      </c>
      <c r="I58" s="210">
        <v>750000</v>
      </c>
      <c r="J58" s="210">
        <f>L58/100*1000</f>
        <v>487500</v>
      </c>
      <c r="K58" s="197">
        <v>75000</v>
      </c>
      <c r="L58" s="211">
        <v>48750</v>
      </c>
      <c r="M58" s="197"/>
      <c r="N58" s="197">
        <v>656.25</v>
      </c>
      <c r="O58" s="197">
        <v>130.188</v>
      </c>
      <c r="P58" s="197">
        <f>K58-N58-O58+M58</f>
        <v>74213.562</v>
      </c>
      <c r="Q58" s="175">
        <f>ROUND(H58/(P58/K58),4)</f>
        <v>0.0783</v>
      </c>
      <c r="R58" s="197">
        <f>Q58*L58</f>
        <v>3817.1249999999995</v>
      </c>
    </row>
    <row r="59" spans="1:18" ht="15.75">
      <c r="A59" s="164"/>
      <c r="B59" s="169" t="s">
        <v>238</v>
      </c>
      <c r="D59" s="174"/>
      <c r="E59" s="185"/>
      <c r="F59" s="212"/>
      <c r="G59" s="209"/>
      <c r="H59" s="175"/>
      <c r="I59" s="210"/>
      <c r="J59" s="210"/>
      <c r="K59" s="197"/>
      <c r="L59" s="211"/>
      <c r="M59" s="197"/>
      <c r="N59" s="197"/>
      <c r="O59" s="197"/>
      <c r="P59" s="197"/>
      <c r="Q59" s="175"/>
      <c r="R59" s="197"/>
    </row>
    <row r="60" spans="2:18" ht="15.75">
      <c r="B60" s="171" t="s">
        <v>28</v>
      </c>
      <c r="D60" s="174">
        <v>25</v>
      </c>
      <c r="E60" s="185">
        <v>34297</v>
      </c>
      <c r="G60" s="209">
        <v>25</v>
      </c>
      <c r="H60" s="175">
        <v>0.0745</v>
      </c>
      <c r="I60" s="210">
        <v>2400000</v>
      </c>
      <c r="J60" s="210">
        <f>L60/25*1000</f>
        <v>2400000</v>
      </c>
      <c r="K60" s="213">
        <v>60000</v>
      </c>
      <c r="L60" s="214">
        <v>60000</v>
      </c>
      <c r="M60" s="197"/>
      <c r="N60" s="197">
        <v>2126</v>
      </c>
      <c r="O60" s="197">
        <v>0</v>
      </c>
      <c r="P60" s="213">
        <f>K60-N60-O60+M60</f>
        <v>57874</v>
      </c>
      <c r="Q60" s="175">
        <f>ROUND(H60/(P60/K60),4)</f>
        <v>0.0772</v>
      </c>
      <c r="R60" s="213">
        <f>Q60*L60</f>
        <v>4632</v>
      </c>
    </row>
    <row r="61" spans="2:18" ht="15.75">
      <c r="B61" s="171"/>
      <c r="D61" s="174"/>
      <c r="E61" s="185"/>
      <c r="G61" s="209"/>
      <c r="H61" s="175"/>
      <c r="I61" s="210"/>
      <c r="J61" s="210"/>
      <c r="K61" s="215">
        <f>SUM(K56:K60)</f>
        <v>165000</v>
      </c>
      <c r="L61" s="215">
        <f>SUM(L56:L60)</f>
        <v>110661.9</v>
      </c>
      <c r="P61" s="215">
        <f>SUM(P56:P60)</f>
        <v>161544.962</v>
      </c>
      <c r="R61" s="215">
        <f>SUM(R56:R60)</f>
        <v>8542.98807</v>
      </c>
    </row>
    <row r="62" spans="7:18" ht="15.75">
      <c r="G62" s="209"/>
      <c r="H62" s="175"/>
      <c r="I62" s="210"/>
      <c r="J62" s="210"/>
      <c r="K62" s="215"/>
      <c r="L62" s="216"/>
      <c r="M62" s="197"/>
      <c r="N62" s="197"/>
      <c r="O62" s="197"/>
      <c r="P62" s="215"/>
      <c r="Q62" s="175"/>
      <c r="R62" s="215"/>
    </row>
    <row r="63" spans="7:18" ht="15.75">
      <c r="G63" s="209"/>
      <c r="H63" s="175"/>
      <c r="I63" s="210"/>
      <c r="J63" s="210"/>
      <c r="K63" s="215"/>
      <c r="L63" s="216"/>
      <c r="M63" s="197"/>
      <c r="N63" s="197"/>
      <c r="O63" s="171" t="s">
        <v>75</v>
      </c>
      <c r="Q63" s="175">
        <f>R61/L61</f>
        <v>0.07719900046899611</v>
      </c>
      <c r="R63" s="215"/>
    </row>
    <row r="64" spans="3:18" ht="15.75">
      <c r="C64" s="217"/>
      <c r="D64" s="217"/>
      <c r="E64" s="217"/>
      <c r="F64" s="218" t="s">
        <v>69</v>
      </c>
      <c r="G64" s="165"/>
      <c r="H64" s="219"/>
      <c r="I64" s="219"/>
      <c r="K64" s="215"/>
      <c r="L64" s="216"/>
      <c r="M64" s="197"/>
      <c r="N64" s="197"/>
      <c r="O64" s="197"/>
      <c r="P64" s="215"/>
      <c r="Q64" s="175"/>
      <c r="R64" s="215"/>
    </row>
    <row r="65" spans="2:18" ht="15.75">
      <c r="B65" s="171"/>
      <c r="C65" s="217"/>
      <c r="D65" s="206" t="s">
        <v>33</v>
      </c>
      <c r="E65" s="217" t="s">
        <v>68</v>
      </c>
      <c r="F65" s="165" t="s">
        <v>70</v>
      </c>
      <c r="G65" s="165" t="s">
        <v>37</v>
      </c>
      <c r="H65" s="219" t="s">
        <v>72</v>
      </c>
      <c r="I65" s="219" t="s">
        <v>73</v>
      </c>
      <c r="K65" s="215"/>
      <c r="L65" s="216"/>
      <c r="M65" s="197"/>
      <c r="N65" s="197"/>
      <c r="O65" s="197"/>
      <c r="P65" s="215"/>
      <c r="Q65" s="175"/>
      <c r="R65" s="215"/>
    </row>
    <row r="66" spans="2:18" ht="15.75">
      <c r="B66" s="169" t="s">
        <v>153</v>
      </c>
      <c r="C66" s="220" t="s">
        <v>42</v>
      </c>
      <c r="D66" s="221" t="s">
        <v>31</v>
      </c>
      <c r="E66" s="220" t="s">
        <v>31</v>
      </c>
      <c r="F66" s="168" t="s">
        <v>71</v>
      </c>
      <c r="G66" s="168" t="s">
        <v>47</v>
      </c>
      <c r="H66" s="222" t="s">
        <v>42</v>
      </c>
      <c r="I66" s="222" t="s">
        <v>74</v>
      </c>
      <c r="K66" s="215"/>
      <c r="L66" s="216"/>
      <c r="M66" s="197"/>
      <c r="N66" s="197"/>
      <c r="O66" s="197"/>
      <c r="P66" s="215"/>
      <c r="Q66" s="175"/>
      <c r="R66" s="215"/>
    </row>
    <row r="67" spans="2:18" ht="15.75">
      <c r="B67" s="171" t="s">
        <v>67</v>
      </c>
      <c r="C67" s="223">
        <v>0.08231</v>
      </c>
      <c r="D67" s="224">
        <v>35587</v>
      </c>
      <c r="E67" s="224">
        <v>46539</v>
      </c>
      <c r="F67" s="225">
        <v>100000000</v>
      </c>
      <c r="G67" s="55">
        <v>98.69</v>
      </c>
      <c r="H67" s="226">
        <f>ROUND(YIELD(D67,E67,C67,G67,100,2,2),4)</f>
        <v>0.0835</v>
      </c>
      <c r="I67" s="227">
        <f>H67*F67</f>
        <v>8350000.000000001</v>
      </c>
      <c r="K67" s="215"/>
      <c r="L67" s="216"/>
      <c r="M67" s="197"/>
      <c r="N67" s="197"/>
      <c r="O67" s="197"/>
      <c r="P67" s="215"/>
      <c r="Q67" s="175"/>
      <c r="R67" s="215"/>
    </row>
    <row r="68" spans="2:18" ht="15.75">
      <c r="B68" s="171" t="s">
        <v>65</v>
      </c>
      <c r="C68" s="228">
        <v>0.084</v>
      </c>
      <c r="D68" s="224">
        <v>37035</v>
      </c>
      <c r="E68" s="224">
        <v>51682</v>
      </c>
      <c r="F68" s="229">
        <v>200000000</v>
      </c>
      <c r="G68" s="230">
        <v>96.747</v>
      </c>
      <c r="H68" s="226">
        <f>ROUND(YIELD(D68,E68,C68,G68,100,2,2),4)</f>
        <v>0.0869</v>
      </c>
      <c r="I68" s="231">
        <f>H68*F68</f>
        <v>17380000</v>
      </c>
      <c r="J68" s="210"/>
      <c r="K68" s="215"/>
      <c r="L68" s="216"/>
      <c r="M68" s="197"/>
      <c r="N68" s="197"/>
      <c r="O68" s="197"/>
      <c r="P68" s="215"/>
      <c r="Q68" s="175"/>
      <c r="R68" s="215"/>
    </row>
    <row r="69" spans="2:18" ht="15.75">
      <c r="B69" s="171"/>
      <c r="D69" s="174"/>
      <c r="E69" s="185"/>
      <c r="F69" s="164">
        <f>SUM(F67:F68)</f>
        <v>300000000</v>
      </c>
      <c r="G69" s="209"/>
      <c r="H69" s="175"/>
      <c r="I69" s="210">
        <f>SUM(I67:I68)</f>
        <v>25730000</v>
      </c>
      <c r="J69" s="210"/>
      <c r="K69" s="215"/>
      <c r="L69" s="216"/>
      <c r="M69" s="197"/>
      <c r="N69" s="197"/>
      <c r="O69" s="197"/>
      <c r="P69" s="215"/>
      <c r="Q69" s="175"/>
      <c r="R69" s="215"/>
    </row>
    <row r="70" spans="2:18" ht="15.75">
      <c r="B70" s="171"/>
      <c r="D70" s="174"/>
      <c r="E70" s="185"/>
      <c r="G70" s="209"/>
      <c r="H70" s="175"/>
      <c r="I70" s="210"/>
      <c r="J70" s="210"/>
      <c r="K70" s="215"/>
      <c r="L70" s="216"/>
      <c r="M70" s="197"/>
      <c r="N70" s="197"/>
      <c r="O70" s="197"/>
      <c r="P70" s="215"/>
      <c r="Q70" s="175"/>
      <c r="R70" s="215"/>
    </row>
    <row r="71" spans="7:9" ht="15.75">
      <c r="G71" s="191" t="s">
        <v>75</v>
      </c>
      <c r="I71" s="58">
        <f>I69/F69</f>
        <v>0.08576666666666667</v>
      </c>
    </row>
    <row r="72" ht="15.75">
      <c r="B72" s="171" t="s">
        <v>58</v>
      </c>
    </row>
    <row r="74" spans="2:17" ht="15.75">
      <c r="B74" s="171"/>
      <c r="O74" s="171"/>
      <c r="Q74" s="175"/>
    </row>
    <row r="75" spans="2:7" ht="15.75">
      <c r="B75" s="171"/>
      <c r="E75" s="175"/>
      <c r="F75" s="175"/>
      <c r="G75" s="171"/>
    </row>
    <row r="77" ht="15.75">
      <c r="B77" s="208"/>
    </row>
    <row r="78" spans="2:8" ht="15.75">
      <c r="B78" s="171"/>
      <c r="E78" s="175"/>
      <c r="F78" s="175"/>
      <c r="G78" s="207"/>
      <c r="H78" s="175"/>
    </row>
    <row r="79" spans="2:8" ht="15.75">
      <c r="B79" s="171"/>
      <c r="E79" s="175"/>
      <c r="F79" s="175"/>
      <c r="G79" s="207"/>
      <c r="H79" s="175"/>
    </row>
  </sheetData>
  <mergeCells count="3">
    <mergeCell ref="A1:H1"/>
    <mergeCell ref="A2:H2"/>
    <mergeCell ref="A3:H3"/>
  </mergeCells>
  <printOptions horizontalCentered="1"/>
  <pageMargins left="0.5" right="0.5" top="1" bottom="1" header="0.5" footer="0.5"/>
  <pageSetup fitToHeight="1" fitToWidth="1" horizontalDpi="600" verticalDpi="600" orientation="portrait" scale="70" r:id="rId1"/>
  <headerFooter alignWithMargins="0">
    <oddHeader xml:space="preserve">&amp;R&amp;"Times New Roman,Regular" Page 12 </oddHeader>
    <oddFooter>&amp;L&amp;"Times New Roman,Regular"&amp;10&amp;F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workbookViewId="0" topLeftCell="A1">
      <selection activeCell="A1" sqref="A1:L1"/>
    </sheetView>
  </sheetViews>
  <sheetFormatPr defaultColWidth="8.796875" defaultRowHeight="15"/>
  <cols>
    <col min="1" max="1" width="3.3984375" style="296" customWidth="1"/>
    <col min="2" max="2" width="3.3984375" style="297" hidden="1" customWidth="1"/>
    <col min="3" max="3" width="10" style="295" customWidth="1"/>
    <col min="4" max="4" width="13.59765625" style="295" customWidth="1"/>
    <col min="5" max="5" width="13.5" style="295" customWidth="1"/>
    <col min="6" max="6" width="16.09765625" style="295" customWidth="1"/>
    <col min="7" max="7" width="21.8984375" style="295" customWidth="1"/>
    <col min="8" max="8" width="14.69921875" style="295" customWidth="1"/>
    <col min="9" max="9" width="3.59765625" style="295" customWidth="1"/>
    <col min="10" max="10" width="9.09765625" style="295" hidden="1" customWidth="1"/>
    <col min="11" max="11" width="11.09765625" style="295" customWidth="1"/>
    <col min="12" max="12" width="16" style="295" customWidth="1"/>
    <col min="13" max="13" width="12.19921875" style="295" customWidth="1"/>
    <col min="14" max="14" width="10.09765625" style="295" customWidth="1"/>
    <col min="15" max="15" width="12.09765625" style="295" customWidth="1"/>
    <col min="16" max="16" width="14.19921875" style="295" customWidth="1"/>
    <col min="17" max="16384" width="7.59765625" style="295" customWidth="1"/>
  </cols>
  <sheetData>
    <row r="1" spans="1:12" ht="15.75">
      <c r="A1" s="532" t="s">
        <v>59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3.5" customHeight="1">
      <c r="A2" s="533" t="s">
        <v>192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15.75">
      <c r="A3" s="533" t="s">
        <v>193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s="317" customFormat="1" ht="15.75">
      <c r="A4" s="534" t="str">
        <f>'Cost of Cap. (page 1)'!A7</f>
        <v>Cause No. ____________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ht="13.5" customHeight="1">
      <c r="A5" s="296">
        <v>1</v>
      </c>
    </row>
    <row r="6" spans="1:3" ht="13.5" customHeight="1">
      <c r="A6" s="296">
        <v>2</v>
      </c>
      <c r="B6" s="296"/>
      <c r="C6" s="298" t="s">
        <v>1</v>
      </c>
    </row>
    <row r="7" spans="1:3" ht="13.5" customHeight="1">
      <c r="A7" s="296">
        <v>3</v>
      </c>
      <c r="B7" s="296"/>
      <c r="C7" s="298" t="s">
        <v>216</v>
      </c>
    </row>
    <row r="8" spans="1:13" ht="13.5" customHeight="1">
      <c r="A8" s="296">
        <v>4</v>
      </c>
      <c r="B8" s="296"/>
      <c r="D8" s="296"/>
      <c r="L8" s="107" t="s">
        <v>1</v>
      </c>
      <c r="M8" s="85"/>
    </row>
    <row r="9" spans="1:16" s="297" customFormat="1" ht="13.5" customHeight="1">
      <c r="A9" s="296">
        <v>5</v>
      </c>
      <c r="B9" s="296"/>
      <c r="C9" s="333"/>
      <c r="D9" s="333"/>
      <c r="E9" s="333" t="s">
        <v>32</v>
      </c>
      <c r="F9" s="333" t="s">
        <v>31</v>
      </c>
      <c r="G9" s="333" t="s">
        <v>194</v>
      </c>
      <c r="H9" s="333" t="s">
        <v>195</v>
      </c>
      <c r="I9" s="333"/>
      <c r="J9" s="333"/>
      <c r="K9" s="333" t="s">
        <v>196</v>
      </c>
      <c r="L9" s="333" t="s">
        <v>246</v>
      </c>
      <c r="M9" s="107"/>
      <c r="N9" s="107"/>
      <c r="O9" s="107"/>
      <c r="P9" s="107"/>
    </row>
    <row r="10" spans="1:16" s="297" customFormat="1" ht="13.5" customHeight="1">
      <c r="A10" s="296">
        <v>6</v>
      </c>
      <c r="B10" s="296"/>
      <c r="C10" s="334" t="s">
        <v>33</v>
      </c>
      <c r="D10" s="334" t="s">
        <v>40</v>
      </c>
      <c r="E10" s="334" t="s">
        <v>41</v>
      </c>
      <c r="F10" s="334" t="s">
        <v>160</v>
      </c>
      <c r="G10" s="334" t="s">
        <v>111</v>
      </c>
      <c r="H10" s="334" t="s">
        <v>32</v>
      </c>
      <c r="I10" s="334"/>
      <c r="J10" s="334"/>
      <c r="K10" s="334" t="s">
        <v>197</v>
      </c>
      <c r="L10" s="334" t="s">
        <v>160</v>
      </c>
      <c r="M10" s="107"/>
      <c r="N10" s="107"/>
      <c r="O10" s="107"/>
      <c r="P10" s="107"/>
    </row>
    <row r="11" spans="1:16" ht="13.5" customHeight="1">
      <c r="A11" s="296">
        <v>7</v>
      </c>
      <c r="B11" s="296"/>
      <c r="K11" s="85"/>
      <c r="L11" s="85"/>
      <c r="M11" s="85"/>
      <c r="N11" s="85"/>
      <c r="O11" s="85"/>
      <c r="P11" s="85"/>
    </row>
    <row r="12" spans="1:16" s="306" customFormat="1" ht="13.5" customHeight="1">
      <c r="A12" s="296">
        <v>8</v>
      </c>
      <c r="B12" s="299" t="s">
        <v>3</v>
      </c>
      <c r="C12" s="300" t="s">
        <v>60</v>
      </c>
      <c r="D12" s="301">
        <v>25</v>
      </c>
      <c r="E12" s="302">
        <v>2000000</v>
      </c>
      <c r="F12" s="303">
        <v>35657</v>
      </c>
      <c r="G12" s="301">
        <f>E12*D12</f>
        <v>50000000</v>
      </c>
      <c r="H12" s="304">
        <v>1181994</v>
      </c>
      <c r="I12" s="304"/>
      <c r="J12" s="304"/>
      <c r="K12" s="305">
        <v>25.625</v>
      </c>
      <c r="L12" s="301">
        <f>ROUND((K12-D12)*H12,0)</f>
        <v>738746</v>
      </c>
      <c r="M12" s="331"/>
      <c r="N12" s="331"/>
      <c r="O12" s="331"/>
      <c r="P12" s="331"/>
    </row>
    <row r="13" spans="1:16" s="306" customFormat="1" ht="13.5" customHeight="1">
      <c r="A13" s="296">
        <v>9</v>
      </c>
      <c r="B13" s="299" t="s">
        <v>3</v>
      </c>
      <c r="C13" s="307">
        <v>0.047</v>
      </c>
      <c r="D13" s="301">
        <v>100</v>
      </c>
      <c r="E13" s="302">
        <v>150000</v>
      </c>
      <c r="F13" s="303">
        <v>35657</v>
      </c>
      <c r="G13" s="301">
        <f>E13*D13</f>
        <v>15000000</v>
      </c>
      <c r="H13" s="304">
        <v>51854</v>
      </c>
      <c r="I13" s="304"/>
      <c r="J13" s="304"/>
      <c r="K13" s="305">
        <v>89.32</v>
      </c>
      <c r="L13" s="301">
        <f>ROUND((K13-D13)*H13,0)</f>
        <v>-553801</v>
      </c>
      <c r="M13" s="331"/>
      <c r="N13" s="331"/>
      <c r="O13" s="331"/>
      <c r="P13" s="331"/>
    </row>
    <row r="14" spans="1:16" s="306" customFormat="1" ht="13.5" customHeight="1">
      <c r="A14" s="296">
        <f>A13+1</f>
        <v>10</v>
      </c>
      <c r="B14" s="299" t="s">
        <v>3</v>
      </c>
      <c r="C14" s="307">
        <v>0.0484</v>
      </c>
      <c r="D14" s="301">
        <v>100</v>
      </c>
      <c r="E14" s="302">
        <v>150000</v>
      </c>
      <c r="F14" s="303">
        <v>35657</v>
      </c>
      <c r="G14" s="301">
        <f>E14*D14</f>
        <v>15000000</v>
      </c>
      <c r="H14" s="304">
        <v>33148</v>
      </c>
      <c r="I14" s="304"/>
      <c r="J14" s="304"/>
      <c r="K14" s="305">
        <v>91.51</v>
      </c>
      <c r="L14" s="301">
        <f>ROUND((K14-D14)*H14,0)</f>
        <v>-281427</v>
      </c>
      <c r="M14" s="331"/>
      <c r="N14" s="331"/>
      <c r="O14" s="331"/>
      <c r="P14" s="331"/>
    </row>
    <row r="15" spans="1:16" s="306" customFormat="1" ht="13.5" customHeight="1">
      <c r="A15" s="296">
        <f>A14+1</f>
        <v>11</v>
      </c>
      <c r="B15" s="296" t="s">
        <v>6</v>
      </c>
      <c r="C15" s="307" t="s">
        <v>61</v>
      </c>
      <c r="D15" s="295"/>
      <c r="E15" s="308"/>
      <c r="F15" s="303">
        <v>34274</v>
      </c>
      <c r="G15" s="309"/>
      <c r="H15" s="310" t="s">
        <v>1</v>
      </c>
      <c r="I15" s="310"/>
      <c r="J15" s="310"/>
      <c r="K15" s="309"/>
      <c r="L15" s="301">
        <v>798331</v>
      </c>
      <c r="M15" s="331"/>
      <c r="N15" s="331"/>
      <c r="O15" s="331"/>
      <c r="P15" s="331"/>
    </row>
    <row r="16" spans="1:16" s="306" customFormat="1" ht="13.5" customHeight="1">
      <c r="A16" s="296">
        <f>A15+1</f>
        <v>12</v>
      </c>
      <c r="B16" s="296" t="s">
        <v>6</v>
      </c>
      <c r="C16" s="307" t="s">
        <v>245</v>
      </c>
      <c r="D16" s="295"/>
      <c r="E16" s="308"/>
      <c r="F16" s="311"/>
      <c r="G16" s="309"/>
      <c r="H16" s="310" t="s">
        <v>1</v>
      </c>
      <c r="I16" s="310"/>
      <c r="J16" s="310"/>
      <c r="K16" s="309"/>
      <c r="L16" s="477">
        <f>ROUND(798331-(798331/11/12)*92,2)</f>
        <v>241918.48</v>
      </c>
      <c r="M16" s="331"/>
      <c r="N16" s="331"/>
      <c r="O16" s="331"/>
      <c r="P16" s="331"/>
    </row>
    <row r="17" spans="1:16" ht="13.5" customHeight="1">
      <c r="A17" s="296">
        <f>A16+1</f>
        <v>13</v>
      </c>
      <c r="B17" s="296"/>
      <c r="C17" s="307"/>
      <c r="D17" s="301"/>
      <c r="E17" s="302"/>
      <c r="F17" s="303"/>
      <c r="G17" s="305"/>
      <c r="H17" s="304"/>
      <c r="I17" s="304"/>
      <c r="J17" s="304"/>
      <c r="K17" s="305"/>
      <c r="L17" s="301"/>
      <c r="M17" s="85"/>
      <c r="N17" s="85"/>
      <c r="O17" s="85"/>
      <c r="P17" s="85"/>
    </row>
    <row r="18" spans="1:12" ht="13.5" customHeight="1">
      <c r="A18" s="296">
        <f aca="true" t="shared" si="0" ref="A18:A49">A17+1</f>
        <v>14</v>
      </c>
      <c r="B18" s="296"/>
      <c r="C18" s="85"/>
      <c r="G18" s="85"/>
      <c r="H18" s="85"/>
      <c r="I18" s="85"/>
      <c r="J18" s="85"/>
      <c r="K18" s="85"/>
      <c r="L18" s="85"/>
    </row>
    <row r="19" spans="1:12" ht="13.5" customHeight="1">
      <c r="A19" s="296">
        <f t="shared" si="0"/>
        <v>15</v>
      </c>
      <c r="B19" s="296"/>
      <c r="C19" s="298" t="s">
        <v>198</v>
      </c>
      <c r="G19" s="85"/>
      <c r="H19" s="85"/>
      <c r="I19" s="85"/>
      <c r="J19" s="85"/>
      <c r="K19" s="296" t="s">
        <v>1</v>
      </c>
      <c r="L19" s="301" t="s">
        <v>1</v>
      </c>
    </row>
    <row r="20" spans="1:11" ht="13.5" customHeight="1">
      <c r="A20" s="296">
        <f t="shared" si="0"/>
        <v>16</v>
      </c>
      <c r="B20" s="296"/>
      <c r="C20" s="333"/>
      <c r="D20" s="335"/>
      <c r="E20" s="335"/>
      <c r="F20" s="335"/>
      <c r="G20" s="335"/>
      <c r="H20" s="336" t="s">
        <v>202</v>
      </c>
      <c r="I20" s="335"/>
      <c r="J20" s="335"/>
      <c r="K20" s="335"/>
    </row>
    <row r="21" spans="1:11" ht="13.5" customHeight="1">
      <c r="A21" s="296">
        <f t="shared" si="0"/>
        <v>17</v>
      </c>
      <c r="B21" s="296"/>
      <c r="C21" s="336"/>
      <c r="D21" s="336"/>
      <c r="E21" s="336" t="s">
        <v>199</v>
      </c>
      <c r="F21" s="336"/>
      <c r="G21" s="336" t="s">
        <v>200</v>
      </c>
      <c r="H21" s="336" t="s">
        <v>203</v>
      </c>
      <c r="I21" s="336"/>
      <c r="J21" s="333"/>
      <c r="K21" s="336" t="s">
        <v>205</v>
      </c>
    </row>
    <row r="22" spans="1:11" ht="13.5" customHeight="1">
      <c r="A22" s="296">
        <f t="shared" si="0"/>
        <v>18</v>
      </c>
      <c r="B22" s="296"/>
      <c r="C22" s="337" t="s">
        <v>33</v>
      </c>
      <c r="D22" s="337"/>
      <c r="E22" s="337" t="s">
        <v>160</v>
      </c>
      <c r="F22" s="337"/>
      <c r="G22" s="337" t="s">
        <v>201</v>
      </c>
      <c r="H22" s="337" t="s">
        <v>204</v>
      </c>
      <c r="I22" s="337"/>
      <c r="J22" s="334"/>
      <c r="K22" s="337" t="s">
        <v>206</v>
      </c>
    </row>
    <row r="23" spans="1:13" ht="13.5" customHeight="1">
      <c r="A23" s="296">
        <f t="shared" si="0"/>
        <v>19</v>
      </c>
      <c r="B23" s="296" t="s">
        <v>3</v>
      </c>
      <c r="C23" s="300" t="s">
        <v>60</v>
      </c>
      <c r="E23" s="301">
        <f>L12</f>
        <v>738746</v>
      </c>
      <c r="G23" s="301">
        <f>E23</f>
        <v>738746</v>
      </c>
      <c r="H23" s="313" t="s">
        <v>64</v>
      </c>
      <c r="I23" s="313"/>
      <c r="J23" s="314">
        <f>ROUND(12/120,2)</f>
        <v>0.1</v>
      </c>
      <c r="K23" s="301">
        <f>ROUND(J23*G23,0)</f>
        <v>73875</v>
      </c>
      <c r="M23" s="305"/>
    </row>
    <row r="24" spans="1:13" ht="13.5" customHeight="1">
      <c r="A24" s="296">
        <f t="shared" si="0"/>
        <v>20</v>
      </c>
      <c r="B24" s="296" t="s">
        <v>3</v>
      </c>
      <c r="C24" s="307">
        <v>0.047</v>
      </c>
      <c r="E24" s="301">
        <f>L13</f>
        <v>-553801</v>
      </c>
      <c r="G24" s="301">
        <f>E24</f>
        <v>-553801</v>
      </c>
      <c r="H24" s="313" t="s">
        <v>64</v>
      </c>
      <c r="I24" s="313"/>
      <c r="J24" s="314">
        <f>ROUND(12/120,2)</f>
        <v>0.1</v>
      </c>
      <c r="K24" s="301">
        <f>ROUND(J24*G24,0)</f>
        <v>-55380</v>
      </c>
      <c r="M24" s="305"/>
    </row>
    <row r="25" spans="1:13" ht="16.5" customHeight="1">
      <c r="A25" s="296">
        <f t="shared" si="0"/>
        <v>21</v>
      </c>
      <c r="B25" s="296" t="s">
        <v>3</v>
      </c>
      <c r="C25" s="307">
        <v>0.0484</v>
      </c>
      <c r="E25" s="301">
        <f>L14</f>
        <v>-281427</v>
      </c>
      <c r="G25" s="301">
        <f>E25</f>
        <v>-281427</v>
      </c>
      <c r="H25" s="313" t="s">
        <v>64</v>
      </c>
      <c r="I25" s="313"/>
      <c r="J25" s="314">
        <f>ROUND(12/120,2)</f>
        <v>0.1</v>
      </c>
      <c r="K25" s="301">
        <f>ROUND(J25*G25,0)</f>
        <v>-28143</v>
      </c>
      <c r="M25" s="305"/>
    </row>
    <row r="26" spans="1:13" s="317" customFormat="1" ht="13.5" customHeight="1">
      <c r="A26" s="315">
        <f t="shared" si="0"/>
        <v>22</v>
      </c>
      <c r="B26" s="315" t="s">
        <v>6</v>
      </c>
      <c r="C26" s="316" t="s">
        <v>61</v>
      </c>
      <c r="E26" s="318">
        <f>L15</f>
        <v>798331</v>
      </c>
      <c r="G26" s="301">
        <f>E26</f>
        <v>798331</v>
      </c>
      <c r="H26" s="319" t="s">
        <v>62</v>
      </c>
      <c r="I26" s="320" t="s">
        <v>2</v>
      </c>
      <c r="J26" s="321">
        <f>12/132</f>
        <v>0.09090909090909091</v>
      </c>
      <c r="K26" s="450">
        <f>ROUND(J26*G26,0)</f>
        <v>72576</v>
      </c>
      <c r="M26" s="322"/>
    </row>
    <row r="27" spans="1:13" s="317" customFormat="1" ht="13.5" customHeight="1">
      <c r="A27" s="315">
        <f t="shared" si="0"/>
        <v>23</v>
      </c>
      <c r="B27" s="315"/>
      <c r="C27" s="316"/>
      <c r="E27" s="318"/>
      <c r="G27" s="446" t="s">
        <v>222</v>
      </c>
      <c r="H27" s="319"/>
      <c r="I27" s="320"/>
      <c r="J27" s="321"/>
      <c r="K27" s="301">
        <f>ROUND(SUM(K23:K26),0)</f>
        <v>62928</v>
      </c>
      <c r="M27" s="322"/>
    </row>
    <row r="28" spans="1:13" s="317" customFormat="1" ht="13.5" customHeight="1">
      <c r="A28" s="315">
        <f t="shared" si="0"/>
        <v>24</v>
      </c>
      <c r="B28" s="315"/>
      <c r="C28" s="316"/>
      <c r="E28" s="318"/>
      <c r="G28" s="301"/>
      <c r="H28" s="319"/>
      <c r="I28" s="320"/>
      <c r="J28" s="321"/>
      <c r="K28" s="301"/>
      <c r="M28" s="322"/>
    </row>
    <row r="29" spans="1:13" s="317" customFormat="1" ht="13.5" customHeight="1">
      <c r="A29" s="315">
        <f t="shared" si="0"/>
        <v>25</v>
      </c>
      <c r="B29" s="315" t="s">
        <v>6</v>
      </c>
      <c r="C29" s="316" t="s">
        <v>242</v>
      </c>
      <c r="D29" s="295"/>
      <c r="E29" s="85"/>
      <c r="F29" s="295"/>
      <c r="G29" s="318">
        <f>L16</f>
        <v>241918.48</v>
      </c>
      <c r="H29" s="323">
        <v>0.0807</v>
      </c>
      <c r="I29" s="324" t="s">
        <v>15</v>
      </c>
      <c r="J29" s="321">
        <v>0.0807</v>
      </c>
      <c r="K29" s="301">
        <f>ROUND(J29*G29,0)</f>
        <v>19523</v>
      </c>
      <c r="M29" s="322"/>
    </row>
    <row r="30" spans="1:13" s="317" customFormat="1" ht="13.5" customHeight="1">
      <c r="A30" s="315">
        <f t="shared" si="0"/>
        <v>26</v>
      </c>
      <c r="B30" s="315"/>
      <c r="C30" s="476"/>
      <c r="E30" s="318"/>
      <c r="G30" s="318"/>
      <c r="H30" s="323"/>
      <c r="I30" s="324"/>
      <c r="J30" s="321"/>
      <c r="K30" s="301"/>
      <c r="M30" s="322"/>
    </row>
    <row r="31" spans="1:5" ht="13.5" customHeight="1">
      <c r="A31" s="315">
        <f t="shared" si="0"/>
        <v>27</v>
      </c>
      <c r="B31" s="296"/>
      <c r="E31" s="301" t="s">
        <v>1</v>
      </c>
    </row>
    <row r="32" spans="1:11" ht="13.5" customHeight="1" thickBot="1">
      <c r="A32" s="296">
        <f t="shared" si="0"/>
        <v>28</v>
      </c>
      <c r="B32" s="296"/>
      <c r="E32" s="85"/>
      <c r="G32" s="437" t="s">
        <v>219</v>
      </c>
      <c r="H32" s="437"/>
      <c r="I32" s="438"/>
      <c r="J32" s="436"/>
      <c r="K32" s="445">
        <f>ROUND(SUM(K27+K29),2)</f>
        <v>82451</v>
      </c>
    </row>
    <row r="33" spans="1:5" ht="13.5" customHeight="1" thickTop="1">
      <c r="A33" s="296">
        <f t="shared" si="0"/>
        <v>29</v>
      </c>
      <c r="B33" s="296"/>
      <c r="E33" s="85"/>
    </row>
    <row r="34" spans="1:5" ht="13.5" customHeight="1">
      <c r="A34" s="296">
        <f t="shared" si="0"/>
        <v>30</v>
      </c>
      <c r="B34" s="296"/>
      <c r="C34" s="312" t="s">
        <v>97</v>
      </c>
      <c r="E34" s="85"/>
    </row>
    <row r="35" spans="1:5" ht="13.5" customHeight="1">
      <c r="A35" s="296">
        <f t="shared" si="0"/>
        <v>31</v>
      </c>
      <c r="B35" s="296"/>
      <c r="C35" s="316"/>
      <c r="E35" s="85"/>
    </row>
    <row r="36" spans="1:11" ht="13.5" customHeight="1">
      <c r="A36" s="296">
        <v>29</v>
      </c>
      <c r="B36" s="296"/>
      <c r="C36" s="316" t="s">
        <v>243</v>
      </c>
      <c r="E36" s="85"/>
      <c r="G36" s="439">
        <f>ROUND(798331-((798331/11/12)*119),2)</f>
        <v>78623.51</v>
      </c>
      <c r="H36" s="323">
        <v>0.0807</v>
      </c>
      <c r="I36" s="295" t="s">
        <v>15</v>
      </c>
      <c r="K36" s="439">
        <f>ROUND(G36*H36,0)</f>
        <v>6345</v>
      </c>
    </row>
    <row r="37" spans="1:11" ht="13.5" customHeight="1">
      <c r="A37" s="296">
        <v>30</v>
      </c>
      <c r="B37" s="296"/>
      <c r="C37" s="316" t="s">
        <v>244</v>
      </c>
      <c r="E37" s="85"/>
      <c r="G37" s="326">
        <f>ROUND(G36-G29,2)</f>
        <v>-163294.97</v>
      </c>
      <c r="H37" s="323">
        <v>0.0807</v>
      </c>
      <c r="I37" s="295" t="s">
        <v>15</v>
      </c>
      <c r="K37" s="326">
        <f>ROUND(G37*H37,0)</f>
        <v>-13178</v>
      </c>
    </row>
    <row r="38" spans="1:11" ht="13.5" customHeight="1">
      <c r="A38" s="296">
        <v>31</v>
      </c>
      <c r="B38" s="296"/>
      <c r="D38" s="317"/>
      <c r="E38" s="318"/>
      <c r="F38" s="317"/>
      <c r="G38" s="318"/>
      <c r="H38" s="323"/>
      <c r="I38" s="324"/>
      <c r="J38" s="321">
        <v>0.0807</v>
      </c>
      <c r="K38" s="435"/>
    </row>
    <row r="39" spans="1:5" ht="13.5" customHeight="1">
      <c r="A39" s="296">
        <v>32</v>
      </c>
      <c r="B39" s="296"/>
      <c r="E39" s="332"/>
    </row>
    <row r="40" spans="1:11" ht="13.5" customHeight="1" thickBot="1">
      <c r="A40" s="296">
        <f t="shared" si="0"/>
        <v>33</v>
      </c>
      <c r="B40" s="296"/>
      <c r="E40" s="332"/>
      <c r="F40" s="325"/>
      <c r="G40" s="437" t="s">
        <v>220</v>
      </c>
      <c r="H40" s="440"/>
      <c r="I40" s="440"/>
      <c r="J40" s="440"/>
      <c r="K40" s="441">
        <f>ROUND(K32+K37,0)</f>
        <v>69273</v>
      </c>
    </row>
    <row r="41" spans="1:11" ht="13.5" customHeight="1" thickTop="1">
      <c r="A41" s="296">
        <f t="shared" si="0"/>
        <v>34</v>
      </c>
      <c r="B41" s="296"/>
      <c r="E41" s="85"/>
      <c r="G41" s="326"/>
      <c r="K41" s="327"/>
    </row>
    <row r="42" spans="1:5" ht="13.5" customHeight="1">
      <c r="A42" s="296">
        <f t="shared" si="0"/>
        <v>35</v>
      </c>
      <c r="B42" s="296"/>
      <c r="E42" s="85"/>
    </row>
    <row r="43" spans="1:3" ht="13.5" customHeight="1">
      <c r="A43" s="296">
        <f t="shared" si="0"/>
        <v>36</v>
      </c>
      <c r="B43" s="296"/>
      <c r="C43" s="328"/>
    </row>
    <row r="44" spans="1:13" ht="13.5" customHeight="1">
      <c r="A44" s="296">
        <f t="shared" si="0"/>
        <v>37</v>
      </c>
      <c r="C44" s="328"/>
      <c r="M44" s="330"/>
    </row>
    <row r="45" spans="1:13" ht="13.5" customHeight="1">
      <c r="A45" s="296">
        <f t="shared" si="0"/>
        <v>38</v>
      </c>
      <c r="C45" s="295" t="s">
        <v>1</v>
      </c>
      <c r="M45" s="330"/>
    </row>
    <row r="46" spans="1:13" ht="13.5" customHeight="1">
      <c r="A46" s="296">
        <f t="shared" si="0"/>
        <v>39</v>
      </c>
      <c r="C46" s="329" t="s">
        <v>217</v>
      </c>
      <c r="M46" s="330"/>
    </row>
    <row r="47" spans="1:13" ht="13.5" customHeight="1">
      <c r="A47" s="296">
        <f t="shared" si="0"/>
        <v>40</v>
      </c>
      <c r="M47" s="330"/>
    </row>
    <row r="48" spans="1:13" ht="13.5" customHeight="1">
      <c r="A48" s="296">
        <f t="shared" si="0"/>
        <v>41</v>
      </c>
      <c r="C48" s="329" t="s">
        <v>218</v>
      </c>
      <c r="M48" s="330"/>
    </row>
    <row r="49" spans="1:13" ht="13.5" customHeight="1">
      <c r="A49" s="296">
        <f t="shared" si="0"/>
        <v>42</v>
      </c>
      <c r="C49" s="329" t="s">
        <v>207</v>
      </c>
      <c r="M49" s="330"/>
    </row>
    <row r="50" ht="13.5" customHeight="1"/>
    <row r="51" ht="13.5" customHeight="1">
      <c r="C51" s="85"/>
    </row>
  </sheetData>
  <mergeCells count="4">
    <mergeCell ref="A1:L1"/>
    <mergeCell ref="A2:L2"/>
    <mergeCell ref="A3:L3"/>
    <mergeCell ref="A4:L4"/>
  </mergeCells>
  <printOptions horizontalCentered="1"/>
  <pageMargins left="0.45" right="0.5" top="0.54" bottom="0.5" header="0.32" footer="0.3"/>
  <pageSetup fitToHeight="1" fitToWidth="1" horizontalDpi="300" verticalDpi="300" orientation="portrait" scale="72" r:id="rId3"/>
  <headerFooter alignWithMargins="0">
    <oddHeader xml:space="preserve">&amp;R&amp;"Times New Roman,Regular" Page  13 </oddHeader>
    <oddFooter>&amp;L&amp;"Times New Roman,Regular"&amp;10&amp;F
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:M1"/>
    </sheetView>
  </sheetViews>
  <sheetFormatPr defaultColWidth="8.796875" defaultRowHeight="15"/>
  <cols>
    <col min="1" max="1" width="4.59765625" style="2" customWidth="1"/>
    <col min="2" max="3" width="9" style="2" customWidth="1"/>
    <col min="4" max="4" width="12.59765625" style="2" customWidth="1"/>
    <col min="5" max="5" width="14.09765625" style="2" customWidth="1"/>
    <col min="6" max="6" width="11.09765625" style="2" bestFit="1" customWidth="1"/>
    <col min="7" max="7" width="11" style="2" bestFit="1" customWidth="1"/>
    <col min="8" max="8" width="10.5" style="2" bestFit="1" customWidth="1"/>
    <col min="9" max="10" width="11.69921875" style="2" bestFit="1" customWidth="1"/>
    <col min="11" max="11" width="9.8984375" style="2" bestFit="1" customWidth="1"/>
    <col min="12" max="12" width="8.8984375" style="2" customWidth="1"/>
    <col min="13" max="16384" width="9" style="2" customWidth="1"/>
  </cols>
  <sheetData>
    <row r="1" spans="1:13" ht="15.75">
      <c r="A1" s="520" t="s">
        <v>85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13" ht="15.75">
      <c r="A2" s="521" t="s">
        <v>156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ht="15.75">
      <c r="A3" s="521" t="s">
        <v>157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ht="15.75">
      <c r="A4" s="521" t="s">
        <v>158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</row>
    <row r="5" spans="1:13" s="61" customFormat="1" ht="15.75">
      <c r="A5" s="522" t="str">
        <f>'Cost of Cap. (page 1)'!A7</f>
        <v>Cause No. ____________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</row>
    <row r="6" ht="15.75">
      <c r="A6" s="342">
        <v>1</v>
      </c>
    </row>
    <row r="7" ht="15.75">
      <c r="A7" s="342">
        <v>2</v>
      </c>
    </row>
    <row r="8" spans="1:11" ht="15.75">
      <c r="A8" s="342">
        <v>3</v>
      </c>
      <c r="B8" s="53"/>
      <c r="D8" s="122"/>
      <c r="E8" s="122"/>
      <c r="F8" s="122"/>
      <c r="G8" s="122"/>
      <c r="H8" s="122"/>
      <c r="I8" s="122" t="s">
        <v>32</v>
      </c>
      <c r="J8" s="122" t="s">
        <v>39</v>
      </c>
      <c r="K8" s="122" t="s">
        <v>39</v>
      </c>
    </row>
    <row r="9" spans="1:13" ht="15.75">
      <c r="A9" s="342">
        <v>4</v>
      </c>
      <c r="D9" s="122"/>
      <c r="E9" s="122"/>
      <c r="F9" s="122"/>
      <c r="G9" s="122"/>
      <c r="H9" s="122"/>
      <c r="I9" s="122" t="s">
        <v>160</v>
      </c>
      <c r="J9" s="122" t="s">
        <v>162</v>
      </c>
      <c r="K9" s="122" t="s">
        <v>162</v>
      </c>
      <c r="L9" s="521" t="s">
        <v>173</v>
      </c>
      <c r="M9" s="521"/>
    </row>
    <row r="10" spans="1:13" ht="15.75">
      <c r="A10" s="342">
        <v>5</v>
      </c>
      <c r="D10" s="122"/>
      <c r="E10" s="122" t="s">
        <v>31</v>
      </c>
      <c r="F10" s="122" t="s">
        <v>159</v>
      </c>
      <c r="G10" s="122" t="s">
        <v>32</v>
      </c>
      <c r="H10" s="122" t="s">
        <v>32</v>
      </c>
      <c r="I10" s="122" t="s">
        <v>161</v>
      </c>
      <c r="J10" s="122" t="s">
        <v>163</v>
      </c>
      <c r="K10" s="122" t="s">
        <v>163</v>
      </c>
      <c r="L10" s="521" t="s">
        <v>174</v>
      </c>
      <c r="M10" s="521"/>
    </row>
    <row r="11" spans="1:13" ht="15.75">
      <c r="A11" s="342">
        <v>6</v>
      </c>
      <c r="B11" s="255" t="s">
        <v>142</v>
      </c>
      <c r="C11" s="252"/>
      <c r="D11" s="56" t="s">
        <v>40</v>
      </c>
      <c r="E11" s="56" t="s">
        <v>41</v>
      </c>
      <c r="F11" s="56" t="s">
        <v>42</v>
      </c>
      <c r="G11" s="56" t="s">
        <v>41</v>
      </c>
      <c r="H11" s="56" t="s">
        <v>112</v>
      </c>
      <c r="I11" s="256">
        <v>37043</v>
      </c>
      <c r="J11" s="56" t="s">
        <v>164</v>
      </c>
      <c r="K11" s="56" t="s">
        <v>31</v>
      </c>
      <c r="L11" s="56">
        <v>2002</v>
      </c>
      <c r="M11" s="56">
        <v>2003</v>
      </c>
    </row>
    <row r="12" spans="1:13" ht="15.75">
      <c r="A12" s="342">
        <v>7</v>
      </c>
      <c r="B12" s="2" t="s">
        <v>57</v>
      </c>
      <c r="D12" s="259">
        <v>100</v>
      </c>
      <c r="E12" s="258">
        <v>33688</v>
      </c>
      <c r="F12" s="228">
        <v>0.0775</v>
      </c>
      <c r="G12" s="254">
        <v>750000</v>
      </c>
      <c r="H12" s="254">
        <v>48750</v>
      </c>
      <c r="I12" s="55">
        <v>0</v>
      </c>
      <c r="J12" s="260">
        <v>7500</v>
      </c>
      <c r="K12" s="257">
        <v>36937</v>
      </c>
      <c r="L12" s="260">
        <v>7500</v>
      </c>
      <c r="M12" s="260">
        <v>7500</v>
      </c>
    </row>
    <row r="13" spans="1:13" ht="15.75">
      <c r="A13" s="342">
        <v>8</v>
      </c>
      <c r="D13" s="131"/>
      <c r="E13" s="57"/>
      <c r="F13" s="58"/>
      <c r="G13" s="248"/>
      <c r="H13" s="248"/>
      <c r="J13" s="125"/>
      <c r="K13" s="249"/>
      <c r="L13" s="125"/>
      <c r="M13" s="125"/>
    </row>
    <row r="14" spans="1:13" ht="15.75">
      <c r="A14" s="342">
        <v>9</v>
      </c>
      <c r="D14" s="131"/>
      <c r="E14" s="57"/>
      <c r="F14" s="58"/>
      <c r="G14" s="248"/>
      <c r="H14" s="254"/>
      <c r="I14" s="122" t="s">
        <v>32</v>
      </c>
      <c r="J14" s="125"/>
      <c r="K14" s="249"/>
      <c r="L14" s="125"/>
      <c r="M14" s="125"/>
    </row>
    <row r="15" spans="1:9" ht="15.75">
      <c r="A15" s="342">
        <v>10</v>
      </c>
      <c r="H15" s="56" t="s">
        <v>101</v>
      </c>
      <c r="I15" s="56" t="s">
        <v>112</v>
      </c>
    </row>
    <row r="16" spans="1:6" ht="15.75">
      <c r="A16" s="342">
        <v>11</v>
      </c>
      <c r="B16" s="250" t="s">
        <v>165</v>
      </c>
      <c r="F16" s="125">
        <f>H12</f>
        <v>48750</v>
      </c>
    </row>
    <row r="17" spans="1:9" ht="15.75">
      <c r="A17" s="342">
        <v>12</v>
      </c>
      <c r="B17" s="251"/>
      <c r="F17" s="30"/>
      <c r="H17" s="54">
        <v>37530</v>
      </c>
      <c r="I17" s="125">
        <v>41250</v>
      </c>
    </row>
    <row r="18" spans="1:9" ht="15.75">
      <c r="A18" s="342">
        <v>13</v>
      </c>
      <c r="B18" s="53" t="s">
        <v>166</v>
      </c>
      <c r="F18" s="125">
        <f>F16-F17</f>
        <v>48750</v>
      </c>
      <c r="H18" s="54">
        <v>37561</v>
      </c>
      <c r="I18" s="125">
        <v>41250</v>
      </c>
    </row>
    <row r="19" spans="1:9" ht="15.75">
      <c r="A19" s="342">
        <v>14</v>
      </c>
      <c r="H19" s="54">
        <v>37591</v>
      </c>
      <c r="I19" s="125">
        <v>41250</v>
      </c>
    </row>
    <row r="20" spans="1:9" ht="15.75">
      <c r="A20" s="342">
        <v>15</v>
      </c>
      <c r="B20" s="53" t="s">
        <v>167</v>
      </c>
      <c r="F20" s="253">
        <f>L12</f>
        <v>7500</v>
      </c>
      <c r="H20" s="54">
        <v>37622</v>
      </c>
      <c r="I20" s="125">
        <v>41250</v>
      </c>
    </row>
    <row r="21" spans="1:9" ht="15.75">
      <c r="A21" s="342">
        <v>16</v>
      </c>
      <c r="H21" s="54">
        <v>37653</v>
      </c>
      <c r="I21" s="125">
        <v>33750</v>
      </c>
    </row>
    <row r="22" spans="1:9" ht="15.75">
      <c r="A22" s="342">
        <v>17</v>
      </c>
      <c r="B22" s="53" t="s">
        <v>168</v>
      </c>
      <c r="F22" s="125">
        <f>F18-F20</f>
        <v>41250</v>
      </c>
      <c r="H22" s="54">
        <v>37681</v>
      </c>
      <c r="I22" s="125">
        <v>33750</v>
      </c>
    </row>
    <row r="23" spans="1:9" ht="15.75">
      <c r="A23" s="342">
        <v>18</v>
      </c>
      <c r="H23" s="54">
        <v>37712</v>
      </c>
      <c r="I23" s="125">
        <v>33750</v>
      </c>
    </row>
    <row r="24" spans="1:9" ht="15.75">
      <c r="A24" s="342">
        <v>19</v>
      </c>
      <c r="B24" s="53" t="s">
        <v>169</v>
      </c>
      <c r="F24" s="253">
        <f>M12</f>
        <v>7500</v>
      </c>
      <c r="H24" s="54">
        <v>37742</v>
      </c>
      <c r="I24" s="125">
        <v>33750</v>
      </c>
    </row>
    <row r="25" spans="1:9" ht="15.75">
      <c r="A25" s="342">
        <v>20</v>
      </c>
      <c r="H25" s="54">
        <v>37773</v>
      </c>
      <c r="I25" s="125">
        <v>33750</v>
      </c>
    </row>
    <row r="26" spans="1:9" ht="16.5" thickBot="1">
      <c r="A26" s="342">
        <v>21</v>
      </c>
      <c r="B26" s="53" t="s">
        <v>170</v>
      </c>
      <c r="F26" s="261">
        <f>F22-F24</f>
        <v>33750</v>
      </c>
      <c r="H26" s="54">
        <v>37803</v>
      </c>
      <c r="I26" s="125">
        <v>33750</v>
      </c>
    </row>
    <row r="27" spans="1:9" ht="16.5" thickTop="1">
      <c r="A27" s="342">
        <v>22</v>
      </c>
      <c r="H27" s="54">
        <v>37834</v>
      </c>
      <c r="I27" s="125">
        <v>33750</v>
      </c>
    </row>
    <row r="28" spans="1:9" ht="15.75">
      <c r="A28" s="342">
        <v>23</v>
      </c>
      <c r="H28" s="54">
        <v>37865</v>
      </c>
      <c r="I28" s="125">
        <v>33750</v>
      </c>
    </row>
    <row r="29" ht="15.75">
      <c r="A29" s="342">
        <v>24</v>
      </c>
    </row>
    <row r="30" spans="1:11" ht="15.75">
      <c r="A30" s="342">
        <v>25</v>
      </c>
      <c r="E30" s="5" t="s">
        <v>171</v>
      </c>
      <c r="F30" s="431"/>
      <c r="G30" s="431"/>
      <c r="H30" s="431"/>
      <c r="I30" s="432">
        <f>AVERAGE(I17:I28)</f>
        <v>36250</v>
      </c>
      <c r="J30" s="433" t="s">
        <v>172</v>
      </c>
      <c r="K30" s="434">
        <f>I30*100</f>
        <v>3625000</v>
      </c>
    </row>
  </sheetData>
  <mergeCells count="7">
    <mergeCell ref="L9:M9"/>
    <mergeCell ref="L10:M10"/>
    <mergeCell ref="A5:M5"/>
    <mergeCell ref="A1:M1"/>
    <mergeCell ref="A2:M2"/>
    <mergeCell ref="A3:M3"/>
    <mergeCell ref="A4:M4"/>
  </mergeCells>
  <printOptions horizontalCentered="1"/>
  <pageMargins left="0.25" right="0.25" top="1" bottom="1" header="0.5" footer="0.5"/>
  <pageSetup fitToHeight="1" fitToWidth="1" horizontalDpi="600" verticalDpi="600" orientation="landscape" scale="94" r:id="rId1"/>
  <headerFooter alignWithMargins="0">
    <oddHeader>&amp;R&amp;"Times New Roman,Regular"Page 14</oddHeader>
    <oddFooter>&amp;L&amp;"Times New Roman,Regular"&amp;10&amp;F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="75" zoomScaleNormal="75" workbookViewId="0" topLeftCell="A1">
      <selection activeCell="A1" sqref="A1:L1"/>
    </sheetView>
  </sheetViews>
  <sheetFormatPr defaultColWidth="8.796875" defaultRowHeight="15"/>
  <cols>
    <col min="1" max="1" width="8.8984375" style="232" customWidth="1"/>
    <col min="2" max="2" width="41.69921875" style="236" bestFit="1" customWidth="1"/>
    <col min="3" max="3" width="12.59765625" style="234" bestFit="1" customWidth="1"/>
    <col min="4" max="8" width="11.69921875" style="234" bestFit="1" customWidth="1"/>
    <col min="9" max="13" width="11.69921875" style="232" customWidth="1"/>
    <col min="14" max="16384" width="13.69921875" style="232" customWidth="1"/>
  </cols>
  <sheetData>
    <row r="1" spans="1:12" ht="15.75">
      <c r="A1" s="517" t="s">
        <v>85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2" ht="15.75">
      <c r="A2" s="518" t="s">
        <v>150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12" ht="15.75">
      <c r="A3" s="518" t="s">
        <v>269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1:12" ht="15.75">
      <c r="A4" s="519" t="s">
        <v>63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</row>
    <row r="5" spans="1:12" s="234" customFormat="1" ht="15.75">
      <c r="A5" s="516" t="str">
        <f>'Cost of Cap. (page 1)'!A7</f>
        <v>Cause No. ____________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3" s="234" customFormat="1" ht="15.75">
      <c r="A6" s="493">
        <v>1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 t="s">
        <v>278</v>
      </c>
      <c r="M6" s="510" t="s">
        <v>278</v>
      </c>
    </row>
    <row r="7" spans="1:13" ht="15.75">
      <c r="A7" s="233">
        <v>2</v>
      </c>
      <c r="B7" s="449"/>
      <c r="C7" s="511"/>
      <c r="D7" s="511"/>
      <c r="E7" s="511"/>
      <c r="F7" s="511"/>
      <c r="G7" s="511"/>
      <c r="H7" s="511"/>
      <c r="I7" s="235" t="s">
        <v>250</v>
      </c>
      <c r="J7" s="491">
        <v>1995</v>
      </c>
      <c r="K7" s="491" t="s">
        <v>253</v>
      </c>
      <c r="L7" s="491" t="s">
        <v>277</v>
      </c>
      <c r="M7" s="491" t="s">
        <v>181</v>
      </c>
    </row>
    <row r="8" spans="1:13" ht="15.75">
      <c r="A8" s="493">
        <v>3</v>
      </c>
      <c r="C8" s="237">
        <v>37712</v>
      </c>
      <c r="D8" s="237">
        <v>37742</v>
      </c>
      <c r="E8" s="237">
        <v>37773</v>
      </c>
      <c r="F8" s="237">
        <v>37803</v>
      </c>
      <c r="G8" s="237">
        <v>37834</v>
      </c>
      <c r="H8" s="237">
        <v>37865</v>
      </c>
      <c r="I8" s="235" t="s">
        <v>247</v>
      </c>
      <c r="J8" s="491" t="s">
        <v>276</v>
      </c>
      <c r="K8" s="491" t="s">
        <v>254</v>
      </c>
      <c r="L8" s="491" t="s">
        <v>279</v>
      </c>
      <c r="M8" s="491" t="s">
        <v>256</v>
      </c>
    </row>
    <row r="9" ht="15.75">
      <c r="A9" s="233">
        <v>4</v>
      </c>
    </row>
    <row r="10" spans="1:13" s="234" customFormat="1" ht="15.75">
      <c r="A10" s="493">
        <v>5</v>
      </c>
      <c r="B10" s="447" t="s">
        <v>151</v>
      </c>
      <c r="C10" s="242">
        <v>0</v>
      </c>
      <c r="D10" s="242">
        <v>0</v>
      </c>
      <c r="E10" s="509">
        <v>0</v>
      </c>
      <c r="F10" s="509">
        <v>0</v>
      </c>
      <c r="G10" s="509">
        <v>0</v>
      </c>
      <c r="H10" s="509">
        <v>15152</v>
      </c>
      <c r="I10" s="448">
        <f>ROUND(SUM(C10:H10)/6,0)</f>
        <v>2525</v>
      </c>
      <c r="J10" s="448">
        <v>11665</v>
      </c>
      <c r="K10" s="448">
        <v>-160680</v>
      </c>
      <c r="L10" s="448">
        <f>IF(I10+J10+K10&lt;0,0,I10+K10)</f>
        <v>0</v>
      </c>
      <c r="M10" s="501">
        <f>ROUND(L10/L$17,4)</f>
        <v>0</v>
      </c>
    </row>
    <row r="11" spans="1:13" s="234" customFormat="1" ht="15.75">
      <c r="A11" s="233">
        <v>6</v>
      </c>
      <c r="B11" s="447" t="s">
        <v>152</v>
      </c>
      <c r="C11" s="242">
        <v>1943879.76895808</v>
      </c>
      <c r="D11" s="242">
        <v>1943879.76895808</v>
      </c>
      <c r="E11" s="242">
        <v>1943879.76895808</v>
      </c>
      <c r="F11" s="242">
        <v>1943879.76895808</v>
      </c>
      <c r="G11" s="242">
        <v>1915879.76896154</v>
      </c>
      <c r="H11" s="242">
        <v>1915879.76896154</v>
      </c>
      <c r="I11" s="448">
        <f>ROUND(SUM(C11:H11)/6,0)</f>
        <v>1934546</v>
      </c>
      <c r="J11" s="448">
        <v>0</v>
      </c>
      <c r="K11" s="448">
        <v>0</v>
      </c>
      <c r="L11" s="448">
        <f>I11</f>
        <v>1934546</v>
      </c>
      <c r="M11" s="501">
        <f>ROUND(L11/L$17,4)</f>
        <v>0.4566</v>
      </c>
    </row>
    <row r="12" spans="1:13" ht="15.75">
      <c r="A12" s="493">
        <v>7</v>
      </c>
      <c r="B12" s="240" t="s">
        <v>123</v>
      </c>
      <c r="C12" s="241">
        <f aca="true" t="shared" si="0" ref="C12:I12">SUM(C10:C11)</f>
        <v>1943879.76895808</v>
      </c>
      <c r="D12" s="241">
        <f t="shared" si="0"/>
        <v>1943879.76895808</v>
      </c>
      <c r="E12" s="241">
        <f t="shared" si="0"/>
        <v>1943879.76895808</v>
      </c>
      <c r="F12" s="241">
        <f t="shared" si="0"/>
        <v>1943879.76895808</v>
      </c>
      <c r="G12" s="241">
        <f t="shared" si="0"/>
        <v>1915879.76896154</v>
      </c>
      <c r="H12" s="241">
        <f t="shared" si="0"/>
        <v>1931031.76896154</v>
      </c>
      <c r="I12" s="244">
        <f t="shared" si="0"/>
        <v>1937071</v>
      </c>
      <c r="J12" s="244">
        <f>SUM(J10:J11)</f>
        <v>11665</v>
      </c>
      <c r="K12" s="244">
        <f>SUM(K10:K11)</f>
        <v>-160680</v>
      </c>
      <c r="L12" s="244">
        <f>SUM(L10:L11)</f>
        <v>1934546</v>
      </c>
      <c r="M12" s="502">
        <f>SUM(M10:M11)</f>
        <v>0.4566</v>
      </c>
    </row>
    <row r="13" spans="1:13" s="234" customFormat="1" ht="15.75">
      <c r="A13" s="233">
        <v>8</v>
      </c>
      <c r="B13" s="447" t="s">
        <v>153</v>
      </c>
      <c r="C13" s="448">
        <v>300000</v>
      </c>
      <c r="D13" s="448">
        <v>300000</v>
      </c>
      <c r="E13" s="448">
        <v>300000</v>
      </c>
      <c r="F13" s="448">
        <v>300000</v>
      </c>
      <c r="G13" s="448">
        <v>300000</v>
      </c>
      <c r="H13" s="448">
        <v>300000</v>
      </c>
      <c r="I13" s="448">
        <f>ROUND(SUM(C13:H13)/6,0)</f>
        <v>300000</v>
      </c>
      <c r="J13" s="448">
        <v>0</v>
      </c>
      <c r="K13" s="448">
        <v>0</v>
      </c>
      <c r="L13" s="448">
        <f>I13</f>
        <v>300000</v>
      </c>
      <c r="M13" s="501">
        <f>ROUND(L13/L$17,4)</f>
        <v>0.0708</v>
      </c>
    </row>
    <row r="14" spans="1:13" s="234" customFormat="1" ht="15.75">
      <c r="A14" s="493">
        <v>9</v>
      </c>
      <c r="B14" s="447" t="s">
        <v>154</v>
      </c>
      <c r="C14" s="242">
        <v>95662</v>
      </c>
      <c r="D14" s="242">
        <v>95662</v>
      </c>
      <c r="E14" s="242">
        <v>95662</v>
      </c>
      <c r="F14" s="242">
        <v>95662.00000185502</v>
      </c>
      <c r="G14" s="242">
        <v>95662.00000185502</v>
      </c>
      <c r="H14" s="242">
        <v>95662.00000185502</v>
      </c>
      <c r="I14" s="448">
        <f>ROUND(SUM(C14:H14)/6,0)</f>
        <v>95662</v>
      </c>
      <c r="J14" s="448">
        <v>0</v>
      </c>
      <c r="K14" s="448">
        <v>0</v>
      </c>
      <c r="L14" s="448">
        <f>I14</f>
        <v>95662</v>
      </c>
      <c r="M14" s="501">
        <f>ROUND(L14/L$17,4)</f>
        <v>0.0226</v>
      </c>
    </row>
    <row r="15" spans="1:13" ht="15.75">
      <c r="A15" s="233">
        <v>10</v>
      </c>
      <c r="B15" s="240" t="s">
        <v>155</v>
      </c>
      <c r="C15" s="243">
        <f aca="true" t="shared" si="1" ref="C15:I15">SUM(C13:C14)</f>
        <v>395662</v>
      </c>
      <c r="D15" s="243">
        <f t="shared" si="1"/>
        <v>395662</v>
      </c>
      <c r="E15" s="243">
        <f t="shared" si="1"/>
        <v>395662</v>
      </c>
      <c r="F15" s="243">
        <f t="shared" si="1"/>
        <v>395662.000001855</v>
      </c>
      <c r="G15" s="243">
        <f t="shared" si="1"/>
        <v>395662.000001855</v>
      </c>
      <c r="H15" s="243">
        <f t="shared" si="1"/>
        <v>395662.000001855</v>
      </c>
      <c r="I15" s="241">
        <f t="shared" si="1"/>
        <v>395662</v>
      </c>
      <c r="J15" s="241">
        <f>SUM(J13:J14)</f>
        <v>0</v>
      </c>
      <c r="K15" s="241">
        <f>SUM(K13:K14)</f>
        <v>0</v>
      </c>
      <c r="L15" s="241">
        <f>SUM(L13:L14)</f>
        <v>395662</v>
      </c>
      <c r="M15" s="502">
        <f>SUM(M13:M14)</f>
        <v>0.0934</v>
      </c>
    </row>
    <row r="16" spans="1:13" ht="15.75">
      <c r="A16" s="493">
        <v>11</v>
      </c>
      <c r="B16" s="238" t="s">
        <v>255</v>
      </c>
      <c r="C16" s="241">
        <f aca="true" t="shared" si="2" ref="C16:H16">C31</f>
        <v>1749741</v>
      </c>
      <c r="D16" s="241">
        <f t="shared" si="2"/>
        <v>1771768</v>
      </c>
      <c r="E16" s="241">
        <f t="shared" si="2"/>
        <v>1768926</v>
      </c>
      <c r="F16" s="241">
        <f t="shared" si="2"/>
        <v>1721374</v>
      </c>
      <c r="G16" s="241">
        <f t="shared" si="2"/>
        <v>1734447</v>
      </c>
      <c r="H16" s="241">
        <f t="shared" si="2"/>
        <v>1729780</v>
      </c>
      <c r="I16" s="448">
        <f>ROUND(SUM(C16:H16)/6,0)</f>
        <v>1746006</v>
      </c>
      <c r="J16" s="448">
        <v>0</v>
      </c>
      <c r="K16" s="448">
        <f>-K10</f>
        <v>160680</v>
      </c>
      <c r="L16" s="448">
        <f>K16+I16</f>
        <v>1906686</v>
      </c>
      <c r="M16" s="502">
        <f>ROUND(L16/L$17,4)</f>
        <v>0.45</v>
      </c>
    </row>
    <row r="17" spans="1:13" ht="16.5" thickBot="1">
      <c r="A17" s="233">
        <v>12</v>
      </c>
      <c r="B17" s="240" t="s">
        <v>84</v>
      </c>
      <c r="C17" s="245">
        <f aca="true" t="shared" si="3" ref="C17:I17">C12+C15+C16</f>
        <v>4089282.76895808</v>
      </c>
      <c r="D17" s="245">
        <f t="shared" si="3"/>
        <v>4111309.76895808</v>
      </c>
      <c r="E17" s="245">
        <f t="shared" si="3"/>
        <v>4108467.76895808</v>
      </c>
      <c r="F17" s="245">
        <f t="shared" si="3"/>
        <v>4060915.7689599353</v>
      </c>
      <c r="G17" s="245">
        <f t="shared" si="3"/>
        <v>4045988.768963395</v>
      </c>
      <c r="H17" s="245">
        <f t="shared" si="3"/>
        <v>4056473.768963395</v>
      </c>
      <c r="I17" s="245">
        <f t="shared" si="3"/>
        <v>4078739</v>
      </c>
      <c r="J17" s="245">
        <f>J12+J15+J16</f>
        <v>11665</v>
      </c>
      <c r="K17" s="245">
        <f>K12+K15+K16</f>
        <v>0</v>
      </c>
      <c r="L17" s="245">
        <f>L12+L15+L16</f>
        <v>4236894</v>
      </c>
      <c r="M17" s="503">
        <f>M12+M15+M16</f>
        <v>1</v>
      </c>
    </row>
    <row r="18" spans="1:11" ht="16.5" thickTop="1">
      <c r="A18" s="493">
        <v>13</v>
      </c>
      <c r="C18" s="242"/>
      <c r="D18" s="242"/>
      <c r="E18" s="242"/>
      <c r="F18" s="242"/>
      <c r="G18" s="242"/>
      <c r="H18" s="242"/>
      <c r="I18" s="247"/>
      <c r="J18" s="239"/>
      <c r="K18" s="239"/>
    </row>
    <row r="19" spans="1:11" ht="15.75">
      <c r="A19" s="233">
        <v>14</v>
      </c>
      <c r="C19" s="246"/>
      <c r="D19" s="246"/>
      <c r="E19" s="246"/>
      <c r="F19" s="246"/>
      <c r="G19" s="246"/>
      <c r="H19" s="246"/>
      <c r="I19" s="239"/>
      <c r="J19" s="239"/>
      <c r="K19" s="239"/>
    </row>
    <row r="20" spans="1:11" s="234" customFormat="1" ht="15.75">
      <c r="A20" s="493">
        <v>15</v>
      </c>
      <c r="B20" s="238" t="s">
        <v>268</v>
      </c>
      <c r="C20" s="242">
        <v>1695892</v>
      </c>
      <c r="D20" s="242">
        <v>1717919</v>
      </c>
      <c r="E20" s="242">
        <v>1715077</v>
      </c>
      <c r="F20" s="242">
        <v>1667525</v>
      </c>
      <c r="G20" s="242">
        <v>1680598</v>
      </c>
      <c r="H20" s="242">
        <v>1675931</v>
      </c>
      <c r="I20" s="246"/>
      <c r="J20" s="246"/>
      <c r="K20" s="246"/>
    </row>
    <row r="21" spans="1:11" s="234" customFormat="1" ht="15.75">
      <c r="A21" s="233">
        <v>16</v>
      </c>
      <c r="B21" s="507" t="s">
        <v>266</v>
      </c>
      <c r="C21" s="242"/>
      <c r="D21" s="242"/>
      <c r="E21" s="242"/>
      <c r="F21" s="242"/>
      <c r="G21" s="242"/>
      <c r="H21" s="242"/>
      <c r="I21" s="246"/>
      <c r="J21" s="246"/>
      <c r="K21" s="246"/>
    </row>
    <row r="22" spans="1:11" s="234" customFormat="1" ht="15.75">
      <c r="A22" s="493">
        <v>17</v>
      </c>
      <c r="B22" s="238" t="s">
        <v>257</v>
      </c>
      <c r="C22" s="242">
        <v>-1174</v>
      </c>
      <c r="D22" s="242">
        <v>-1174</v>
      </c>
      <c r="E22" s="242">
        <v>-1174</v>
      </c>
      <c r="F22" s="242">
        <v>-1174</v>
      </c>
      <c r="G22" s="242">
        <v>-1174</v>
      </c>
      <c r="H22" s="242">
        <v>-1174</v>
      </c>
      <c r="I22" s="246"/>
      <c r="J22" s="246"/>
      <c r="K22" s="246"/>
    </row>
    <row r="23" spans="1:11" s="234" customFormat="1" ht="15.75">
      <c r="A23" s="233">
        <v>18</v>
      </c>
      <c r="B23" s="238" t="s">
        <v>264</v>
      </c>
      <c r="C23" s="242">
        <v>-77480</v>
      </c>
      <c r="D23" s="242">
        <v>-77480</v>
      </c>
      <c r="E23" s="242">
        <v>-77480</v>
      </c>
      <c r="F23" s="242">
        <v>-77480</v>
      </c>
      <c r="G23" s="242">
        <v>-77480</v>
      </c>
      <c r="H23" s="242">
        <v>-77480</v>
      </c>
      <c r="I23" s="246"/>
      <c r="J23" s="246"/>
      <c r="K23" s="246"/>
    </row>
    <row r="24" spans="1:11" s="234" customFormat="1" ht="15.75">
      <c r="A24" s="493">
        <v>19</v>
      </c>
      <c r="B24" s="238" t="s">
        <v>265</v>
      </c>
      <c r="C24" s="242">
        <v>69724</v>
      </c>
      <c r="D24" s="242">
        <v>69724</v>
      </c>
      <c r="E24" s="242">
        <v>69724</v>
      </c>
      <c r="F24" s="242">
        <v>69724</v>
      </c>
      <c r="G24" s="242">
        <v>69724</v>
      </c>
      <c r="H24" s="242">
        <v>69724</v>
      </c>
      <c r="I24" s="246"/>
      <c r="J24" s="246"/>
      <c r="K24" s="246"/>
    </row>
    <row r="25" spans="1:11" s="234" customFormat="1" ht="15.75">
      <c r="A25" s="233">
        <v>20</v>
      </c>
      <c r="B25" s="238" t="s">
        <v>258</v>
      </c>
      <c r="C25" s="242">
        <v>1576</v>
      </c>
      <c r="D25" s="242">
        <v>1576</v>
      </c>
      <c r="E25" s="242">
        <v>1576</v>
      </c>
      <c r="F25" s="242">
        <v>1576</v>
      </c>
      <c r="G25" s="242">
        <v>1576</v>
      </c>
      <c r="H25" s="242">
        <v>1576</v>
      </c>
      <c r="I25" s="246"/>
      <c r="J25" s="246"/>
      <c r="K25" s="246"/>
    </row>
    <row r="26" spans="1:11" s="234" customFormat="1" ht="15.75">
      <c r="A26" s="493">
        <v>21</v>
      </c>
      <c r="B26" s="238" t="s">
        <v>259</v>
      </c>
      <c r="C26" s="242">
        <v>-25412</v>
      </c>
      <c r="D26" s="242">
        <v>-25412</v>
      </c>
      <c r="E26" s="242">
        <v>-25412</v>
      </c>
      <c r="F26" s="242">
        <v>-25412</v>
      </c>
      <c r="G26" s="242">
        <v>-25412</v>
      </c>
      <c r="H26" s="242">
        <v>-25412</v>
      </c>
      <c r="I26" s="246"/>
      <c r="J26" s="246"/>
      <c r="K26" s="246"/>
    </row>
    <row r="27" spans="1:11" s="234" customFormat="1" ht="15.75">
      <c r="A27" s="233">
        <v>22</v>
      </c>
      <c r="B27" s="238" t="s">
        <v>260</v>
      </c>
      <c r="C27" s="242">
        <v>-17865</v>
      </c>
      <c r="D27" s="242">
        <v>-17865</v>
      </c>
      <c r="E27" s="242">
        <v>-17865</v>
      </c>
      <c r="F27" s="242">
        <v>-17865</v>
      </c>
      <c r="G27" s="242">
        <v>-17865</v>
      </c>
      <c r="H27" s="242">
        <v>-17865</v>
      </c>
      <c r="I27" s="246"/>
      <c r="J27" s="246"/>
      <c r="K27" s="246"/>
    </row>
    <row r="28" spans="1:11" s="234" customFormat="1" ht="15.75">
      <c r="A28" s="493">
        <v>23</v>
      </c>
      <c r="B28" s="238" t="s">
        <v>261</v>
      </c>
      <c r="C28" s="242">
        <v>-813</v>
      </c>
      <c r="D28" s="242">
        <v>-813</v>
      </c>
      <c r="E28" s="242">
        <v>-813</v>
      </c>
      <c r="F28" s="242">
        <v>-813</v>
      </c>
      <c r="G28" s="242">
        <v>-813</v>
      </c>
      <c r="H28" s="242">
        <v>-813</v>
      </c>
      <c r="I28" s="246"/>
      <c r="J28" s="246"/>
      <c r="K28" s="246"/>
    </row>
    <row r="29" spans="1:11" s="234" customFormat="1" ht="15.75">
      <c r="A29" s="233">
        <v>24</v>
      </c>
      <c r="B29" s="238" t="s">
        <v>262</v>
      </c>
      <c r="C29" s="494">
        <v>-2405</v>
      </c>
      <c r="D29" s="494">
        <v>-2405</v>
      </c>
      <c r="E29" s="494">
        <v>-2405</v>
      </c>
      <c r="F29" s="494">
        <v>-2405</v>
      </c>
      <c r="G29" s="494">
        <v>-2405</v>
      </c>
      <c r="H29" s="494">
        <v>-2405</v>
      </c>
      <c r="I29" s="246"/>
      <c r="J29" s="246"/>
      <c r="K29" s="246"/>
    </row>
    <row r="30" spans="1:11" s="234" customFormat="1" ht="15.75">
      <c r="A30" s="493">
        <v>25</v>
      </c>
      <c r="B30" s="238" t="s">
        <v>263</v>
      </c>
      <c r="C30" s="495">
        <f aca="true" t="shared" si="4" ref="C30:H30">SUM(C22:C29)</f>
        <v>-53849</v>
      </c>
      <c r="D30" s="495">
        <f t="shared" si="4"/>
        <v>-53849</v>
      </c>
      <c r="E30" s="495">
        <f t="shared" si="4"/>
        <v>-53849</v>
      </c>
      <c r="F30" s="495">
        <f t="shared" si="4"/>
        <v>-53849</v>
      </c>
      <c r="G30" s="495">
        <f t="shared" si="4"/>
        <v>-53849</v>
      </c>
      <c r="H30" s="495">
        <f t="shared" si="4"/>
        <v>-53849</v>
      </c>
      <c r="I30" s="246"/>
      <c r="J30" s="246"/>
      <c r="K30" s="246"/>
    </row>
    <row r="31" spans="1:11" s="234" customFormat="1" ht="16.5" thickBot="1">
      <c r="A31" s="233">
        <v>26</v>
      </c>
      <c r="B31" s="493" t="s">
        <v>267</v>
      </c>
      <c r="C31" s="496">
        <f aca="true" t="shared" si="5" ref="C31:H31">ROUND(C20-C30,0)</f>
        <v>1749741</v>
      </c>
      <c r="D31" s="496">
        <f t="shared" si="5"/>
        <v>1771768</v>
      </c>
      <c r="E31" s="496">
        <f t="shared" si="5"/>
        <v>1768926</v>
      </c>
      <c r="F31" s="496">
        <f t="shared" si="5"/>
        <v>1721374</v>
      </c>
      <c r="G31" s="496">
        <f t="shared" si="5"/>
        <v>1734447</v>
      </c>
      <c r="H31" s="496">
        <f t="shared" si="5"/>
        <v>1729780</v>
      </c>
      <c r="I31" s="246"/>
      <c r="J31" s="246"/>
      <c r="K31" s="246"/>
    </row>
    <row r="32" spans="1:11" s="234" customFormat="1" ht="16.5" thickTop="1">
      <c r="A32" s="493">
        <v>27</v>
      </c>
      <c r="B32" s="449"/>
      <c r="C32" s="242"/>
      <c r="D32" s="242"/>
      <c r="E32" s="242"/>
      <c r="F32" s="242"/>
      <c r="G32" s="242"/>
      <c r="H32" s="242"/>
      <c r="I32" s="246"/>
      <c r="J32" s="246"/>
      <c r="K32" s="246"/>
    </row>
    <row r="33" spans="1:11" s="234" customFormat="1" ht="15.75">
      <c r="A33" s="233">
        <v>28</v>
      </c>
      <c r="B33" s="449"/>
      <c r="C33" s="242"/>
      <c r="D33" s="242"/>
      <c r="E33" s="242"/>
      <c r="F33" s="242"/>
      <c r="G33" s="242"/>
      <c r="H33" s="242"/>
      <c r="I33" s="246"/>
      <c r="J33" s="246"/>
      <c r="K33" s="246"/>
    </row>
    <row r="34" spans="1:8" s="234" customFormat="1" ht="15.75">
      <c r="A34" s="493">
        <v>29</v>
      </c>
      <c r="B34" s="499"/>
      <c r="C34" s="492"/>
      <c r="D34" s="492"/>
      <c r="E34" s="492"/>
      <c r="F34" s="492"/>
      <c r="G34" s="492"/>
      <c r="H34" s="492"/>
    </row>
    <row r="35" ht="15.75">
      <c r="A35" s="233">
        <v>30</v>
      </c>
    </row>
    <row r="36" spans="1:8" ht="15.75">
      <c r="A36" s="233"/>
      <c r="B36" s="500"/>
      <c r="C36" s="239"/>
      <c r="D36" s="239"/>
      <c r="E36" s="239"/>
      <c r="F36" s="239"/>
      <c r="G36" s="239"/>
      <c r="H36" s="239"/>
    </row>
    <row r="37" ht="15.75">
      <c r="A37" s="233"/>
    </row>
    <row r="38" ht="15.75">
      <c r="A38" s="233"/>
    </row>
    <row r="39" ht="15.75">
      <c r="A39" s="233"/>
    </row>
    <row r="40" ht="15.75">
      <c r="A40" s="233"/>
    </row>
    <row r="41" ht="15.75">
      <c r="A41" s="233"/>
    </row>
  </sheetData>
  <mergeCells count="5">
    <mergeCell ref="A5:L5"/>
    <mergeCell ref="A1:L1"/>
    <mergeCell ref="A2:L2"/>
    <mergeCell ref="A3:L3"/>
    <mergeCell ref="A4:L4"/>
  </mergeCells>
  <printOptions horizontalCentered="1" verticalCentered="1"/>
  <pageMargins left="0.5" right="0.5" top="1" bottom="1" header="0" footer="0"/>
  <pageSetup fitToHeight="1" fitToWidth="1" horizontalDpi="300" verticalDpi="300" orientation="landscape" scale="64" r:id="rId1"/>
  <headerFooter alignWithMargins="0">
    <oddHeader xml:space="preserve">&amp;R&amp;"Times New Roman,Regular"Page 2 </oddHeader>
    <oddFooter>&amp;L&amp;"Times New Roman,Regular"&amp;10&amp;F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workbookViewId="0" topLeftCell="A2">
      <selection activeCell="G75" sqref="G75"/>
    </sheetView>
  </sheetViews>
  <sheetFormatPr defaultColWidth="8.796875" defaultRowHeight="15"/>
  <cols>
    <col min="1" max="1" width="3.19921875" style="78" customWidth="1"/>
    <col min="2" max="2" width="4" style="78" hidden="1" customWidth="1"/>
    <col min="3" max="3" width="12.8984375" style="66" customWidth="1"/>
    <col min="4" max="4" width="9.3984375" style="66" customWidth="1"/>
    <col min="5" max="5" width="9.59765625" style="66" bestFit="1" customWidth="1"/>
    <col min="6" max="6" width="15.8984375" style="66" customWidth="1"/>
    <col min="7" max="7" width="15.09765625" style="84" customWidth="1"/>
    <col min="8" max="8" width="9.59765625" style="66" customWidth="1"/>
    <col min="9" max="9" width="8" style="66" bestFit="1" customWidth="1"/>
    <col min="10" max="10" width="10.59765625" style="84" customWidth="1"/>
    <col min="11" max="11" width="7" style="66" customWidth="1"/>
    <col min="12" max="16384" width="7.59765625" style="66" customWidth="1"/>
  </cols>
  <sheetData>
    <row r="1" spans="1:13" ht="15.75" customHeight="1">
      <c r="A1" s="117" t="s">
        <v>0</v>
      </c>
      <c r="B1" s="62"/>
      <c r="C1" s="63"/>
      <c r="D1" s="63"/>
      <c r="E1" s="63"/>
      <c r="F1" s="64"/>
      <c r="G1" s="65"/>
      <c r="H1" s="63"/>
      <c r="I1" s="63"/>
      <c r="J1" s="65"/>
      <c r="K1" s="63"/>
      <c r="M1" s="67"/>
    </row>
    <row r="2" spans="1:13" ht="19.5" customHeight="1">
      <c r="A2" s="118" t="s">
        <v>108</v>
      </c>
      <c r="B2" s="68"/>
      <c r="C2" s="63"/>
      <c r="D2" s="63"/>
      <c r="E2" s="69"/>
      <c r="F2" s="64"/>
      <c r="G2" s="70"/>
      <c r="H2" s="63"/>
      <c r="I2" s="63"/>
      <c r="J2" s="65"/>
      <c r="K2" s="63"/>
      <c r="M2" s="71"/>
    </row>
    <row r="3" spans="1:11" ht="15.75">
      <c r="A3" s="118" t="s">
        <v>109</v>
      </c>
      <c r="B3" s="68"/>
      <c r="C3" s="63"/>
      <c r="D3" s="63"/>
      <c r="E3" s="63"/>
      <c r="F3" s="64"/>
      <c r="G3" s="65"/>
      <c r="H3" s="72"/>
      <c r="I3" s="64"/>
      <c r="J3" s="65"/>
      <c r="K3" s="63"/>
    </row>
    <row r="4" spans="1:11" s="94" customFormat="1" ht="15.75">
      <c r="A4" s="461" t="str">
        <f>'Cost of Cap. (page 1)'!A7</f>
        <v>Cause No. ____________</v>
      </c>
      <c r="B4" s="462"/>
      <c r="C4" s="463"/>
      <c r="D4" s="463"/>
      <c r="E4" s="463"/>
      <c r="F4" s="464"/>
      <c r="G4" s="465"/>
      <c r="H4" s="466"/>
      <c r="I4" s="464"/>
      <c r="J4" s="465"/>
      <c r="K4" s="463"/>
    </row>
    <row r="5" spans="1:11" ht="12.75">
      <c r="A5" s="74"/>
      <c r="B5" s="73"/>
      <c r="C5" s="63"/>
      <c r="D5" s="63"/>
      <c r="E5" s="63"/>
      <c r="F5" s="64"/>
      <c r="G5" s="65"/>
      <c r="H5" s="63"/>
      <c r="I5" s="63"/>
      <c r="J5" s="65"/>
      <c r="K5" s="63"/>
    </row>
    <row r="6" spans="1:11" ht="12.75">
      <c r="A6" s="74"/>
      <c r="B6" s="73"/>
      <c r="C6" s="63"/>
      <c r="D6" s="63"/>
      <c r="E6" s="63"/>
      <c r="F6" s="64"/>
      <c r="G6" s="65"/>
      <c r="H6" s="63"/>
      <c r="I6" s="63"/>
      <c r="J6" s="65"/>
      <c r="K6" s="63"/>
    </row>
    <row r="7" spans="1:11" ht="12.75">
      <c r="A7" s="74">
        <v>1</v>
      </c>
      <c r="B7" s="74" t="s">
        <v>1</v>
      </c>
      <c r="C7" s="75"/>
      <c r="D7" s="75"/>
      <c r="E7" s="75"/>
      <c r="F7" s="75"/>
      <c r="G7" s="76" t="s">
        <v>111</v>
      </c>
      <c r="H7" s="77" t="s">
        <v>37</v>
      </c>
      <c r="I7" s="78" t="s">
        <v>2</v>
      </c>
      <c r="J7" s="79"/>
      <c r="K7" s="75"/>
    </row>
    <row r="8" spans="1:11" ht="12.75">
      <c r="A8" s="74">
        <f>A7+1</f>
        <v>2</v>
      </c>
      <c r="B8" s="74" t="s">
        <v>1</v>
      </c>
      <c r="C8" s="75"/>
      <c r="D8" s="75"/>
      <c r="E8" s="77" t="s">
        <v>33</v>
      </c>
      <c r="F8" s="77" t="s">
        <v>68</v>
      </c>
      <c r="G8" s="76" t="s">
        <v>70</v>
      </c>
      <c r="H8" s="77" t="s">
        <v>47</v>
      </c>
      <c r="I8" s="77" t="s">
        <v>38</v>
      </c>
      <c r="J8" s="76" t="s">
        <v>39</v>
      </c>
      <c r="K8" s="77" t="s">
        <v>38</v>
      </c>
    </row>
    <row r="9" spans="1:16" ht="12.75">
      <c r="A9" s="74">
        <f>A8+1</f>
        <v>3</v>
      </c>
      <c r="B9" s="74" t="s">
        <v>1</v>
      </c>
      <c r="C9" s="80"/>
      <c r="D9" s="81" t="s">
        <v>110</v>
      </c>
      <c r="E9" s="82" t="s">
        <v>31</v>
      </c>
      <c r="F9" s="82" t="s">
        <v>31</v>
      </c>
      <c r="G9" s="83" t="s">
        <v>112</v>
      </c>
      <c r="H9" s="82" t="s">
        <v>113</v>
      </c>
      <c r="I9" s="82" t="s">
        <v>42</v>
      </c>
      <c r="J9" s="83" t="s">
        <v>74</v>
      </c>
      <c r="K9" s="82" t="s">
        <v>42</v>
      </c>
      <c r="M9" s="67"/>
      <c r="P9" s="71"/>
    </row>
    <row r="10" spans="1:13" ht="12.75">
      <c r="A10" s="74">
        <f>A9+1</f>
        <v>4</v>
      </c>
      <c r="B10" s="74"/>
      <c r="C10" s="67"/>
      <c r="M10" s="67"/>
    </row>
    <row r="11" spans="1:10" ht="12.75">
      <c r="A11" s="74">
        <f>A10+1</f>
        <v>5</v>
      </c>
      <c r="B11" s="74" t="s">
        <v>3</v>
      </c>
      <c r="C11" s="85" t="s">
        <v>4</v>
      </c>
      <c r="D11" s="86">
        <v>0.0814</v>
      </c>
      <c r="E11" s="87">
        <v>33567</v>
      </c>
      <c r="F11" s="87">
        <v>39051</v>
      </c>
      <c r="G11" s="88">
        <v>25000000</v>
      </c>
      <c r="H11" s="89">
        <v>99.18298836</v>
      </c>
      <c r="I11" s="90">
        <f>ROUND(YIELD(E11,F11,D11,H11,100,2,2),4)</f>
        <v>0.0824</v>
      </c>
      <c r="J11" s="91">
        <f aca="true" t="shared" si="0" ref="J11:J18">ROUND(+I11*G11,0)</f>
        <v>2060000</v>
      </c>
    </row>
    <row r="12" spans="1:10" ht="12.75">
      <c r="A12" s="74">
        <f aca="true" t="shared" si="1" ref="A12:A26">A11+1</f>
        <v>6</v>
      </c>
      <c r="B12" s="74" t="s">
        <v>3</v>
      </c>
      <c r="C12" s="85" t="s">
        <v>4</v>
      </c>
      <c r="D12" s="86">
        <v>0.0775</v>
      </c>
      <c r="E12" s="87">
        <v>33630</v>
      </c>
      <c r="F12" s="87">
        <v>39114</v>
      </c>
      <c r="G12" s="88">
        <v>100000000</v>
      </c>
      <c r="H12" s="89">
        <v>99.17375437</v>
      </c>
      <c r="I12" s="90">
        <f>ROUND(YIELD(E12,F12,D12,H12,100,2,2),4)</f>
        <v>0.0784</v>
      </c>
      <c r="J12" s="91">
        <f t="shared" si="0"/>
        <v>7840000</v>
      </c>
    </row>
    <row r="13" spans="1:10" ht="12.75">
      <c r="A13" s="74">
        <f t="shared" si="1"/>
        <v>7</v>
      </c>
      <c r="B13" s="74" t="s">
        <v>3</v>
      </c>
      <c r="C13" s="85" t="s">
        <v>4</v>
      </c>
      <c r="D13" s="86">
        <v>0.0859</v>
      </c>
      <c r="E13" s="87">
        <v>33703</v>
      </c>
      <c r="F13" s="87">
        <v>41008</v>
      </c>
      <c r="G13" s="88">
        <v>5000000</v>
      </c>
      <c r="H13" s="89">
        <v>99.1401274</v>
      </c>
      <c r="I13" s="90">
        <f>ROUND(YIELD(E13,F13,D13,H13,100,2,2),4)</f>
        <v>0.0868</v>
      </c>
      <c r="J13" s="91">
        <f t="shared" si="0"/>
        <v>434000</v>
      </c>
    </row>
    <row r="14" spans="1:10" ht="12.75">
      <c r="A14" s="74">
        <f t="shared" si="1"/>
        <v>8</v>
      </c>
      <c r="B14" s="74" t="s">
        <v>3</v>
      </c>
      <c r="C14" s="85" t="s">
        <v>4</v>
      </c>
      <c r="D14" s="86">
        <v>0.084</v>
      </c>
      <c r="E14" s="87">
        <v>33731</v>
      </c>
      <c r="F14" s="87">
        <v>39209</v>
      </c>
      <c r="G14" s="88">
        <v>10000000</v>
      </c>
      <c r="H14" s="89">
        <v>99.19012740000001</v>
      </c>
      <c r="I14" s="90">
        <f>ROUND(YIELD(E14,F14,D14,H14,100,2,2),4)</f>
        <v>0.085</v>
      </c>
      <c r="J14" s="91">
        <f t="shared" si="0"/>
        <v>850000</v>
      </c>
    </row>
    <row r="15" spans="1:10" ht="12.75">
      <c r="A15" s="74">
        <f t="shared" si="1"/>
        <v>9</v>
      </c>
      <c r="B15" s="74" t="s">
        <v>3</v>
      </c>
      <c r="C15" s="85" t="s">
        <v>4</v>
      </c>
      <c r="D15" s="86">
        <v>0.0785</v>
      </c>
      <c r="E15" s="87">
        <v>33753</v>
      </c>
      <c r="F15" s="87">
        <v>37405</v>
      </c>
      <c r="G15" s="88">
        <v>30000000</v>
      </c>
      <c r="H15" s="89">
        <v>99.265776</v>
      </c>
      <c r="I15" s="90">
        <f>ROUND(YIELD(E15,F15,D15,H15,100,2,2),4)</f>
        <v>0.0796</v>
      </c>
      <c r="J15" s="91">
        <f t="shared" si="0"/>
        <v>2388000</v>
      </c>
    </row>
    <row r="16" spans="1:10" ht="12.75">
      <c r="A16" s="74">
        <f t="shared" si="1"/>
        <v>10</v>
      </c>
      <c r="B16" s="74" t="s">
        <v>3</v>
      </c>
      <c r="C16" s="85" t="s">
        <v>4</v>
      </c>
      <c r="D16" s="86">
        <v>0.0806</v>
      </c>
      <c r="E16" s="87">
        <v>33773</v>
      </c>
      <c r="F16" s="87">
        <v>38887</v>
      </c>
      <c r="G16" s="88">
        <v>46000000</v>
      </c>
      <c r="H16" s="89">
        <v>99.26577463043478</v>
      </c>
      <c r="I16" s="90">
        <f>ROUND(YIELD(E16,F16,D16,H16,100,2,2),4)</f>
        <v>0.0815</v>
      </c>
      <c r="J16" s="91">
        <f t="shared" si="0"/>
        <v>3749000</v>
      </c>
    </row>
    <row r="17" spans="1:10" ht="12.75">
      <c r="A17" s="74">
        <f t="shared" si="1"/>
        <v>11</v>
      </c>
      <c r="B17" s="74" t="s">
        <v>3</v>
      </c>
      <c r="C17" s="85" t="s">
        <v>4</v>
      </c>
      <c r="D17" s="86">
        <v>0.0707</v>
      </c>
      <c r="E17" s="87">
        <v>33844</v>
      </c>
      <c r="F17" s="87">
        <v>37496</v>
      </c>
      <c r="G17" s="88">
        <v>27000000</v>
      </c>
      <c r="H17" s="89">
        <v>99.26759259259259</v>
      </c>
      <c r="I17" s="90">
        <f>ROUND(YIELD(E17,F17,D17,H17,100,2,2),4)</f>
        <v>0.0717</v>
      </c>
      <c r="J17" s="91">
        <f t="shared" si="0"/>
        <v>1935900</v>
      </c>
    </row>
    <row r="18" spans="1:10" ht="12.75">
      <c r="A18" s="74">
        <f t="shared" si="1"/>
        <v>12</v>
      </c>
      <c r="B18" s="74" t="s">
        <v>3</v>
      </c>
      <c r="C18" s="85" t="s">
        <v>4</v>
      </c>
      <c r="D18" s="86">
        <v>0.0715</v>
      </c>
      <c r="E18" s="87">
        <v>33858</v>
      </c>
      <c r="F18" s="87">
        <v>37510</v>
      </c>
      <c r="G18" s="88">
        <v>5000000</v>
      </c>
      <c r="H18" s="89">
        <v>99.265</v>
      </c>
      <c r="I18" s="90">
        <f>ROUND(YIELD(E18,F18,D18,H18,100,2,2),4)</f>
        <v>0.0725</v>
      </c>
      <c r="J18" s="91">
        <f t="shared" si="0"/>
        <v>362500</v>
      </c>
    </row>
    <row r="19" spans="1:10" ht="12.75">
      <c r="A19" s="74">
        <f t="shared" si="1"/>
        <v>13</v>
      </c>
      <c r="B19" s="74" t="s">
        <v>3</v>
      </c>
      <c r="C19" s="85" t="s">
        <v>5</v>
      </c>
      <c r="D19" s="86">
        <v>0.07625</v>
      </c>
      <c r="E19" s="87">
        <v>33948</v>
      </c>
      <c r="F19" s="87">
        <v>37600</v>
      </c>
      <c r="G19" s="88">
        <v>25000000</v>
      </c>
      <c r="H19" s="89">
        <v>99.12</v>
      </c>
      <c r="I19" s="90">
        <f>ROUND(YIELD(E19,F19,D19,H19,100,2,2),4)</f>
        <v>0.0775</v>
      </c>
      <c r="J19" s="91">
        <f aca="true" t="shared" si="2" ref="J19:J30">ROUND(+I19*G19,0)</f>
        <v>1937500</v>
      </c>
    </row>
    <row r="20" spans="1:10" ht="12.75">
      <c r="A20" s="74">
        <f t="shared" si="1"/>
        <v>14</v>
      </c>
      <c r="B20" s="74" t="s">
        <v>3</v>
      </c>
      <c r="C20" s="85" t="s">
        <v>5</v>
      </c>
      <c r="D20" s="86">
        <v>0.077</v>
      </c>
      <c r="E20" s="87">
        <v>33948</v>
      </c>
      <c r="F20" s="87">
        <v>38331</v>
      </c>
      <c r="G20" s="88">
        <v>50000000</v>
      </c>
      <c r="H20" s="89">
        <v>98.91799999999999</v>
      </c>
      <c r="I20" s="90">
        <f>ROUND(YIELD(E20,F20,D20,H20,100,2,2),4)</f>
        <v>0.0784</v>
      </c>
      <c r="J20" s="91">
        <f t="shared" si="2"/>
        <v>3920000</v>
      </c>
    </row>
    <row r="21" spans="1:10" ht="12.75">
      <c r="A21" s="74">
        <f t="shared" si="1"/>
        <v>15</v>
      </c>
      <c r="B21" s="74" t="s">
        <v>3</v>
      </c>
      <c r="C21" s="85" t="s">
        <v>5</v>
      </c>
      <c r="D21" s="86">
        <v>0.082</v>
      </c>
      <c r="E21" s="87">
        <v>33959</v>
      </c>
      <c r="F21" s="87">
        <v>41264</v>
      </c>
      <c r="G21" s="88">
        <v>30000000</v>
      </c>
      <c r="H21" s="89">
        <v>99.11666666666666</v>
      </c>
      <c r="I21" s="90">
        <f>ROUND(YIELD(E21,F21,D21,H21,100,2,2),4)</f>
        <v>0.0829</v>
      </c>
      <c r="J21" s="91">
        <f t="shared" si="2"/>
        <v>2487000</v>
      </c>
    </row>
    <row r="22" spans="1:10" ht="12.75">
      <c r="A22" s="74">
        <f t="shared" si="1"/>
        <v>16</v>
      </c>
      <c r="B22" s="74" t="s">
        <v>3</v>
      </c>
      <c r="C22" s="85" t="s">
        <v>5</v>
      </c>
      <c r="D22" s="86">
        <v>0.0702</v>
      </c>
      <c r="E22" s="87">
        <v>34009</v>
      </c>
      <c r="F22" s="87">
        <v>37662</v>
      </c>
      <c r="G22" s="88">
        <v>30000000</v>
      </c>
      <c r="H22" s="89">
        <v>99.25833333333334</v>
      </c>
      <c r="I22" s="90">
        <f>ROUND(YIELD(E22,F22,D22,H22,100,2,2),4)</f>
        <v>0.0713</v>
      </c>
      <c r="J22" s="91">
        <f t="shared" si="2"/>
        <v>2139000</v>
      </c>
    </row>
    <row r="23" spans="1:10" ht="12.75">
      <c r="A23" s="74">
        <f t="shared" si="1"/>
        <v>17</v>
      </c>
      <c r="B23" s="74" t="s">
        <v>3</v>
      </c>
      <c r="C23" s="85" t="s">
        <v>5</v>
      </c>
      <c r="D23" s="86">
        <v>0.062</v>
      </c>
      <c r="E23" s="87">
        <v>34302</v>
      </c>
      <c r="F23" s="87">
        <v>37956</v>
      </c>
      <c r="G23" s="88">
        <v>3000000</v>
      </c>
      <c r="H23" s="89">
        <v>99.28</v>
      </c>
      <c r="I23" s="90">
        <f>ROUND(YIELD(E23,F23,D23,H23,100,2,2),4)</f>
        <v>0.063</v>
      </c>
      <c r="J23" s="91">
        <f t="shared" si="2"/>
        <v>189000</v>
      </c>
    </row>
    <row r="24" spans="1:10" ht="12.75">
      <c r="A24" s="74">
        <f t="shared" si="1"/>
        <v>18</v>
      </c>
      <c r="B24" s="74" t="s">
        <v>3</v>
      </c>
      <c r="C24" s="85" t="s">
        <v>5</v>
      </c>
      <c r="D24" s="86">
        <v>0.064</v>
      </c>
      <c r="E24" s="87">
        <v>34302</v>
      </c>
      <c r="F24" s="87">
        <v>37957</v>
      </c>
      <c r="G24" s="88">
        <v>11000000</v>
      </c>
      <c r="H24" s="89">
        <v>99.28</v>
      </c>
      <c r="I24" s="90">
        <f>ROUND(YIELD(E24,F24,D24,H24,100,2,2),4)</f>
        <v>0.065</v>
      </c>
      <c r="J24" s="91">
        <f t="shared" si="2"/>
        <v>715000</v>
      </c>
    </row>
    <row r="25" spans="1:10" ht="12.75">
      <c r="A25" s="74">
        <f t="shared" si="1"/>
        <v>19</v>
      </c>
      <c r="B25" s="74" t="s">
        <v>3</v>
      </c>
      <c r="C25" s="85" t="s">
        <v>5</v>
      </c>
      <c r="D25" s="86">
        <v>0.0735</v>
      </c>
      <c r="E25" s="87">
        <v>34366</v>
      </c>
      <c r="F25" s="87">
        <v>45323</v>
      </c>
      <c r="G25" s="88">
        <v>55000000</v>
      </c>
      <c r="H25" s="89">
        <v>99.15</v>
      </c>
      <c r="I25" s="90">
        <f>ROUND(YIELD(E25,F25,D25,H25,100,2,2),4)</f>
        <v>0.0742</v>
      </c>
      <c r="J25" s="91">
        <f t="shared" si="2"/>
        <v>4081000</v>
      </c>
    </row>
    <row r="26" spans="1:10" ht="12.75">
      <c r="A26" s="74">
        <f t="shared" si="1"/>
        <v>20</v>
      </c>
      <c r="B26" s="74" t="s">
        <v>3</v>
      </c>
      <c r="C26" s="85" t="s">
        <v>5</v>
      </c>
      <c r="D26" s="86">
        <v>0.078</v>
      </c>
      <c r="E26" s="87">
        <v>34481</v>
      </c>
      <c r="F26" s="87">
        <v>38134</v>
      </c>
      <c r="G26" s="88">
        <v>30000000</v>
      </c>
      <c r="H26" s="89">
        <v>99.28</v>
      </c>
      <c r="I26" s="90">
        <f>ROUND(YIELD(E26,F26,D26,H26,100,2,2),4)</f>
        <v>0.0791</v>
      </c>
      <c r="J26" s="91">
        <f t="shared" si="2"/>
        <v>2373000</v>
      </c>
    </row>
    <row r="27" spans="1:10" ht="12.75">
      <c r="A27" s="74">
        <f aca="true" t="shared" si="3" ref="A27:A42">A26+1</f>
        <v>21</v>
      </c>
      <c r="B27" s="74" t="s">
        <v>6</v>
      </c>
      <c r="C27" s="85" t="s">
        <v>4</v>
      </c>
      <c r="D27" s="86">
        <v>0.0851</v>
      </c>
      <c r="E27" s="87">
        <v>33499</v>
      </c>
      <c r="F27" s="87">
        <v>37152</v>
      </c>
      <c r="G27" s="88">
        <v>7000000</v>
      </c>
      <c r="H27" s="89">
        <v>99.01</v>
      </c>
      <c r="I27" s="90">
        <f>ROUND(YIELD(E27,F27,D27,H27,100,2,2),4)</f>
        <v>0.0866</v>
      </c>
      <c r="J27" s="91">
        <f t="shared" si="2"/>
        <v>606200</v>
      </c>
    </row>
    <row r="28" spans="1:10" ht="12.75">
      <c r="A28" s="74">
        <f t="shared" si="3"/>
        <v>22</v>
      </c>
      <c r="B28" s="74" t="s">
        <v>6</v>
      </c>
      <c r="C28" s="85" t="s">
        <v>4</v>
      </c>
      <c r="D28" s="86">
        <v>0.0855</v>
      </c>
      <c r="E28" s="87">
        <v>33499</v>
      </c>
      <c r="F28" s="87">
        <v>37153</v>
      </c>
      <c r="G28" s="88">
        <v>1000000</v>
      </c>
      <c r="H28" s="89">
        <v>99.01</v>
      </c>
      <c r="I28" s="90">
        <f>ROUND(YIELD(E28,F28,D28,H28,100,2,2),4)</f>
        <v>0.087</v>
      </c>
      <c r="J28" s="91">
        <f t="shared" si="2"/>
        <v>87000</v>
      </c>
    </row>
    <row r="29" spans="1:10" ht="12.75">
      <c r="A29" s="74">
        <f t="shared" si="3"/>
        <v>23</v>
      </c>
      <c r="B29" s="74" t="s">
        <v>6</v>
      </c>
      <c r="C29" s="85" t="s">
        <v>4</v>
      </c>
      <c r="D29" s="86">
        <v>0.0854</v>
      </c>
      <c r="E29" s="87">
        <v>33499</v>
      </c>
      <c r="F29" s="87">
        <v>37154</v>
      </c>
      <c r="G29" s="88">
        <v>8000000</v>
      </c>
      <c r="H29" s="89">
        <v>99.01</v>
      </c>
      <c r="I29" s="90">
        <f>ROUND(YIELD(E29,F29,D29,H29,100,2,2),4)</f>
        <v>0.0869</v>
      </c>
      <c r="J29" s="91">
        <f t="shared" si="2"/>
        <v>695200</v>
      </c>
    </row>
    <row r="30" spans="1:10" ht="12.75">
      <c r="A30" s="74">
        <f t="shared" si="3"/>
        <v>24</v>
      </c>
      <c r="B30" s="74" t="s">
        <v>6</v>
      </c>
      <c r="C30" s="85" t="s">
        <v>4</v>
      </c>
      <c r="D30" s="86">
        <v>0.0852</v>
      </c>
      <c r="E30" s="87">
        <v>33499</v>
      </c>
      <c r="F30" s="87">
        <v>37155</v>
      </c>
      <c r="G30" s="88">
        <v>3000000</v>
      </c>
      <c r="H30" s="89">
        <v>99.01</v>
      </c>
      <c r="I30" s="90">
        <f>ROUND(YIELD(E30,F30,D30,H30,100,2,2),4)</f>
        <v>0.0867</v>
      </c>
      <c r="J30" s="91">
        <f t="shared" si="2"/>
        <v>260100</v>
      </c>
    </row>
    <row r="31" spans="1:10" ht="12.75">
      <c r="A31" s="74">
        <f t="shared" si="3"/>
        <v>25</v>
      </c>
      <c r="B31" s="74" t="s">
        <v>6</v>
      </c>
      <c r="C31" s="85" t="s">
        <v>4</v>
      </c>
      <c r="D31" s="86">
        <v>0.0753</v>
      </c>
      <c r="E31" s="87">
        <v>33612</v>
      </c>
      <c r="F31" s="87">
        <v>37265</v>
      </c>
      <c r="G31" s="88">
        <v>10000000</v>
      </c>
      <c r="H31" s="89">
        <v>99.01</v>
      </c>
      <c r="I31" s="90">
        <f>ROUND(YIELD(E31,F31,D31,H31,100,2,2),4)</f>
        <v>0.0767</v>
      </c>
      <c r="J31" s="91">
        <f aca="true" t="shared" si="4" ref="J31:J67">ROUND(+I31*G31,0)</f>
        <v>767000</v>
      </c>
    </row>
    <row r="32" spans="1:10" ht="12.75">
      <c r="A32" s="74">
        <f t="shared" si="3"/>
        <v>26</v>
      </c>
      <c r="B32" s="74" t="s">
        <v>6</v>
      </c>
      <c r="C32" s="85" t="s">
        <v>4</v>
      </c>
      <c r="D32" s="86">
        <v>0.0839</v>
      </c>
      <c r="E32" s="87">
        <v>33616</v>
      </c>
      <c r="F32" s="87">
        <v>44574</v>
      </c>
      <c r="G32" s="88">
        <v>7000000</v>
      </c>
      <c r="H32" s="89">
        <v>98.89</v>
      </c>
      <c r="I32" s="90">
        <f>ROUND(YIELD(E32,F32,D32,H32,100,2,2),4)</f>
        <v>0.0849</v>
      </c>
      <c r="J32" s="91">
        <f t="shared" si="4"/>
        <v>594300</v>
      </c>
    </row>
    <row r="33" spans="1:10" ht="12.75">
      <c r="A33" s="74">
        <f t="shared" si="3"/>
        <v>27</v>
      </c>
      <c r="B33" s="74" t="s">
        <v>6</v>
      </c>
      <c r="C33" s="85" t="s">
        <v>4</v>
      </c>
      <c r="D33" s="86">
        <v>0.084</v>
      </c>
      <c r="E33" s="87">
        <v>33616</v>
      </c>
      <c r="F33" s="87">
        <v>44573</v>
      </c>
      <c r="G33" s="88">
        <v>3000000</v>
      </c>
      <c r="H33" s="89">
        <v>98.89</v>
      </c>
      <c r="I33" s="90">
        <f>ROUND(YIELD(E33,F33,D33,H33,100,2,2),4)</f>
        <v>0.085</v>
      </c>
      <c r="J33" s="91">
        <f t="shared" si="4"/>
        <v>255000</v>
      </c>
    </row>
    <row r="34" spans="1:10" ht="12.75">
      <c r="A34" s="74">
        <f t="shared" si="3"/>
        <v>28</v>
      </c>
      <c r="B34" s="74" t="s">
        <v>6</v>
      </c>
      <c r="C34" s="85" t="s">
        <v>4</v>
      </c>
      <c r="D34" s="86">
        <v>0.0791</v>
      </c>
      <c r="E34" s="87">
        <v>33771</v>
      </c>
      <c r="F34" s="87">
        <v>37424</v>
      </c>
      <c r="G34" s="88">
        <v>20000000</v>
      </c>
      <c r="H34" s="89">
        <v>99.01</v>
      </c>
      <c r="I34" s="90">
        <f>ROUND(YIELD(E34,F34,D34,H34,100,2,2),4)</f>
        <v>0.0806</v>
      </c>
      <c r="J34" s="91">
        <f t="shared" si="4"/>
        <v>1612000</v>
      </c>
    </row>
    <row r="35" spans="1:10" ht="12.75">
      <c r="A35" s="74">
        <f t="shared" si="3"/>
        <v>29</v>
      </c>
      <c r="B35" s="74" t="s">
        <v>6</v>
      </c>
      <c r="C35" s="85" t="s">
        <v>4</v>
      </c>
      <c r="D35" s="86">
        <v>0.0825</v>
      </c>
      <c r="E35" s="87">
        <v>33828</v>
      </c>
      <c r="F35" s="87">
        <v>44785</v>
      </c>
      <c r="G35" s="88">
        <v>25000000</v>
      </c>
      <c r="H35" s="89">
        <v>98.89</v>
      </c>
      <c r="I35" s="90">
        <f>ROUND(YIELD(E35,F35,D35,H35,100,2,2),4)</f>
        <v>0.0835</v>
      </c>
      <c r="J35" s="91">
        <f t="shared" si="4"/>
        <v>2087500</v>
      </c>
    </row>
    <row r="36" spans="1:10" ht="12.75">
      <c r="A36" s="74">
        <f t="shared" si="3"/>
        <v>30</v>
      </c>
      <c r="B36" s="74" t="s">
        <v>6</v>
      </c>
      <c r="C36" s="85" t="s">
        <v>5</v>
      </c>
      <c r="D36" s="86">
        <v>0.0624</v>
      </c>
      <c r="E36" s="87">
        <v>34200</v>
      </c>
      <c r="F36" s="87">
        <v>37852</v>
      </c>
      <c r="G36" s="88">
        <v>1500000</v>
      </c>
      <c r="H36" s="89">
        <v>99.12</v>
      </c>
      <c r="I36" s="90">
        <f>ROUND(YIELD(E36,F36,D36,H36,100,2,2),4)</f>
        <v>0.0636</v>
      </c>
      <c r="J36" s="91">
        <f t="shared" si="4"/>
        <v>95400</v>
      </c>
    </row>
    <row r="37" spans="1:10" ht="12.75">
      <c r="A37" s="74">
        <f t="shared" si="3"/>
        <v>31</v>
      </c>
      <c r="B37" s="74" t="s">
        <v>6</v>
      </c>
      <c r="C37" s="85" t="s">
        <v>5</v>
      </c>
      <c r="D37" s="86">
        <v>0.0653</v>
      </c>
      <c r="E37" s="87">
        <v>34199</v>
      </c>
      <c r="F37" s="87">
        <v>39678</v>
      </c>
      <c r="G37" s="88">
        <v>3500000</v>
      </c>
      <c r="H37" s="89">
        <v>99.1</v>
      </c>
      <c r="I37" s="90">
        <f>ROUND(YIELD(E37,F37,D37,H37,100,2,2),4)</f>
        <v>0.0663</v>
      </c>
      <c r="J37" s="91">
        <f t="shared" si="4"/>
        <v>232050</v>
      </c>
    </row>
    <row r="38" spans="1:10" ht="12.75">
      <c r="A38" s="74">
        <f t="shared" si="3"/>
        <v>32</v>
      </c>
      <c r="B38" s="74" t="s">
        <v>6</v>
      </c>
      <c r="C38" s="85" t="s">
        <v>5</v>
      </c>
      <c r="D38" s="86">
        <v>0.0631</v>
      </c>
      <c r="E38" s="87">
        <v>34199</v>
      </c>
      <c r="F38" s="87">
        <v>37851</v>
      </c>
      <c r="G38" s="88">
        <v>5000000</v>
      </c>
      <c r="H38" s="89">
        <v>99.12</v>
      </c>
      <c r="I38" s="90">
        <f>ROUND(YIELD(E38,F38,D38,H38,100,2,2),4)</f>
        <v>0.0643</v>
      </c>
      <c r="J38" s="91">
        <f t="shared" si="4"/>
        <v>321500</v>
      </c>
    </row>
    <row r="39" spans="1:10" ht="12.75">
      <c r="A39" s="74">
        <f t="shared" si="3"/>
        <v>33</v>
      </c>
      <c r="B39" s="74" t="s">
        <v>6</v>
      </c>
      <c r="C39" s="85" t="s">
        <v>5</v>
      </c>
      <c r="D39" s="86">
        <v>0.0623</v>
      </c>
      <c r="E39" s="87">
        <v>34205</v>
      </c>
      <c r="F39" s="87">
        <v>37858</v>
      </c>
      <c r="G39" s="88">
        <v>1500000</v>
      </c>
      <c r="H39" s="89">
        <v>99.12</v>
      </c>
      <c r="I39" s="90">
        <f>ROUND(YIELD(E39,F39,D39,H39,100,2,2),4)</f>
        <v>0.0635</v>
      </c>
      <c r="J39" s="91">
        <f t="shared" si="4"/>
        <v>95250</v>
      </c>
    </row>
    <row r="40" spans="1:10" ht="12.75">
      <c r="A40" s="74">
        <f t="shared" si="3"/>
        <v>34</v>
      </c>
      <c r="B40" s="74" t="s">
        <v>6</v>
      </c>
      <c r="C40" s="85" t="s">
        <v>5</v>
      </c>
      <c r="D40" s="86">
        <v>0.0683</v>
      </c>
      <c r="E40" s="87">
        <v>34199</v>
      </c>
      <c r="F40" s="87">
        <v>41505</v>
      </c>
      <c r="G40" s="88">
        <v>3000000</v>
      </c>
      <c r="H40" s="89">
        <v>99</v>
      </c>
      <c r="I40" s="90">
        <f>ROUND(YIELD(E40,F40,D40,H40,100,2,2),4)</f>
        <v>0.0692</v>
      </c>
      <c r="J40" s="91">
        <f t="shared" si="4"/>
        <v>207600</v>
      </c>
    </row>
    <row r="41" spans="1:10" ht="12.75">
      <c r="A41" s="74">
        <f t="shared" si="3"/>
        <v>35</v>
      </c>
      <c r="B41" s="74" t="s">
        <v>6</v>
      </c>
      <c r="C41" s="85" t="s">
        <v>5</v>
      </c>
      <c r="D41" s="86">
        <v>0.063</v>
      </c>
      <c r="E41" s="87">
        <v>34205</v>
      </c>
      <c r="F41" s="87">
        <v>37859</v>
      </c>
      <c r="G41" s="88">
        <v>20000000</v>
      </c>
      <c r="H41" s="89">
        <v>99.12</v>
      </c>
      <c r="I41" s="90">
        <f>ROUND(YIELD(E41,F41,D41,H41,100,2,2),4)</f>
        <v>0.0642</v>
      </c>
      <c r="J41" s="91">
        <f t="shared" si="4"/>
        <v>1284000</v>
      </c>
    </row>
    <row r="42" spans="1:10" ht="12.75">
      <c r="A42" s="74">
        <f t="shared" si="3"/>
        <v>36</v>
      </c>
      <c r="B42" s="74" t="s">
        <v>6</v>
      </c>
      <c r="C42" s="85" t="s">
        <v>5</v>
      </c>
      <c r="D42" s="86">
        <v>0.0651</v>
      </c>
      <c r="E42" s="87">
        <v>34200</v>
      </c>
      <c r="F42" s="87">
        <v>39679</v>
      </c>
      <c r="G42" s="88">
        <v>1000000</v>
      </c>
      <c r="H42" s="89">
        <v>99.1</v>
      </c>
      <c r="I42" s="90">
        <f>ROUND(YIELD(E42,F42,D42,H42,100,2,2),4)</f>
        <v>0.0661</v>
      </c>
      <c r="J42" s="91">
        <f t="shared" si="4"/>
        <v>66100</v>
      </c>
    </row>
    <row r="43" spans="1:12" s="94" customFormat="1" ht="12.75">
      <c r="A43" s="92">
        <f aca="true" t="shared" si="5" ref="A43:A81">A42+1</f>
        <v>37</v>
      </c>
      <c r="B43" s="92" t="s">
        <v>6</v>
      </c>
      <c r="C43" s="85" t="s">
        <v>5</v>
      </c>
      <c r="D43" s="86">
        <v>0.0719</v>
      </c>
      <c r="E43" s="87">
        <v>34199</v>
      </c>
      <c r="F43" s="87">
        <v>45156</v>
      </c>
      <c r="G43" s="88">
        <v>3000000</v>
      </c>
      <c r="H43" s="89">
        <v>99</v>
      </c>
      <c r="I43" s="90">
        <f>ROUND(YIELD(E43,F43,D43,H43,100,2,2),4)</f>
        <v>0.0727</v>
      </c>
      <c r="J43" s="93">
        <f t="shared" si="4"/>
        <v>218100</v>
      </c>
      <c r="L43" s="66"/>
    </row>
    <row r="44" spans="1:10" ht="12.75">
      <c r="A44" s="74">
        <f t="shared" si="5"/>
        <v>38</v>
      </c>
      <c r="B44" s="74" t="s">
        <v>6</v>
      </c>
      <c r="C44" s="85" t="s">
        <v>5</v>
      </c>
      <c r="D44" s="86">
        <v>0.061</v>
      </c>
      <c r="E44" s="87">
        <v>34242</v>
      </c>
      <c r="F44" s="87">
        <v>38001</v>
      </c>
      <c r="G44" s="88">
        <v>8500000</v>
      </c>
      <c r="H44" s="89">
        <v>99.12</v>
      </c>
      <c r="I44" s="90">
        <f>ROUND(YIELD(E44,F44,D44,H44,100,2,2),4)</f>
        <v>0.0622</v>
      </c>
      <c r="J44" s="91">
        <f t="shared" si="4"/>
        <v>528700</v>
      </c>
    </row>
    <row r="45" spans="1:10" ht="12.75">
      <c r="A45" s="74">
        <f t="shared" si="5"/>
        <v>39</v>
      </c>
      <c r="B45" s="74" t="s">
        <v>6</v>
      </c>
      <c r="C45" s="85" t="s">
        <v>5</v>
      </c>
      <c r="D45" s="86">
        <v>0.069</v>
      </c>
      <c r="E45" s="87">
        <v>34242</v>
      </c>
      <c r="F45" s="87">
        <v>41548</v>
      </c>
      <c r="G45" s="88">
        <v>10000000</v>
      </c>
      <c r="H45" s="89">
        <v>99</v>
      </c>
      <c r="I45" s="90">
        <f>ROUND(YIELD(E45,F45,D45,H45,100,2,2),4)</f>
        <v>0.0699</v>
      </c>
      <c r="J45" s="91">
        <f t="shared" si="4"/>
        <v>699000</v>
      </c>
    </row>
    <row r="46" spans="1:10" ht="12.75">
      <c r="A46" s="74">
        <f t="shared" si="5"/>
        <v>40</v>
      </c>
      <c r="B46" s="74" t="s">
        <v>6</v>
      </c>
      <c r="C46" s="85" t="s">
        <v>5</v>
      </c>
      <c r="D46" s="86">
        <v>0.0607</v>
      </c>
      <c r="E46" s="87">
        <v>34242</v>
      </c>
      <c r="F46" s="87">
        <v>38002</v>
      </c>
      <c r="G46" s="88">
        <v>10000000</v>
      </c>
      <c r="H46" s="89">
        <v>99.12</v>
      </c>
      <c r="I46" s="90">
        <f>ROUND(YIELD(E46,F46,D46,H46,100,2,2),4)</f>
        <v>0.0619</v>
      </c>
      <c r="J46" s="91">
        <f t="shared" si="4"/>
        <v>619000</v>
      </c>
    </row>
    <row r="47" spans="1:10" ht="12.75">
      <c r="A47" s="74">
        <f t="shared" si="5"/>
        <v>41</v>
      </c>
      <c r="B47" s="74" t="s">
        <v>6</v>
      </c>
      <c r="C47" s="85" t="s">
        <v>7</v>
      </c>
      <c r="D47" s="86">
        <v>0.0692</v>
      </c>
      <c r="E47" s="87">
        <v>34953</v>
      </c>
      <c r="F47" s="87">
        <v>38607</v>
      </c>
      <c r="G47" s="88">
        <v>8000000</v>
      </c>
      <c r="H47" s="89">
        <v>99.16</v>
      </c>
      <c r="I47" s="90">
        <f>ROUND(YIELD(E47,F47,D47,H47,100,2,2),4)</f>
        <v>0.0704</v>
      </c>
      <c r="J47" s="91">
        <f t="shared" si="4"/>
        <v>563200</v>
      </c>
    </row>
    <row r="48" spans="1:10" ht="12.75">
      <c r="A48" s="74">
        <f t="shared" si="5"/>
        <v>42</v>
      </c>
      <c r="B48" s="74" t="s">
        <v>6</v>
      </c>
      <c r="C48" s="85" t="s">
        <v>7</v>
      </c>
      <c r="D48" s="86">
        <v>0.0692</v>
      </c>
      <c r="E48" s="87">
        <v>34953</v>
      </c>
      <c r="F48" s="87">
        <v>38607</v>
      </c>
      <c r="G48" s="88">
        <v>3000000</v>
      </c>
      <c r="H48" s="89">
        <v>99.16</v>
      </c>
      <c r="I48" s="90">
        <f>ROUND(YIELD(E48,F48,D48,H48,100,2,2),4)</f>
        <v>0.0704</v>
      </c>
      <c r="J48" s="91">
        <f t="shared" si="4"/>
        <v>211200</v>
      </c>
    </row>
    <row r="49" spans="1:10" ht="12.75">
      <c r="A49" s="74">
        <f t="shared" si="5"/>
        <v>43</v>
      </c>
      <c r="B49" s="74" t="s">
        <v>6</v>
      </c>
      <c r="C49" s="85" t="s">
        <v>7</v>
      </c>
      <c r="D49" s="86">
        <v>0.0693</v>
      </c>
      <c r="E49" s="87">
        <v>34953</v>
      </c>
      <c r="F49" s="87">
        <v>38608</v>
      </c>
      <c r="G49" s="88">
        <v>20000000</v>
      </c>
      <c r="H49" s="89">
        <v>99.16</v>
      </c>
      <c r="I49" s="90">
        <f>ROUND(YIELD(E49,F49,D49,H49,100,2,2),4)</f>
        <v>0.0705</v>
      </c>
      <c r="J49" s="91">
        <f t="shared" si="4"/>
        <v>1410000</v>
      </c>
    </row>
    <row r="50" spans="1:10" ht="12.75">
      <c r="A50" s="74">
        <f t="shared" si="5"/>
        <v>44</v>
      </c>
      <c r="B50" s="74" t="s">
        <v>6</v>
      </c>
      <c r="C50" s="85" t="s">
        <v>7</v>
      </c>
      <c r="D50" s="86">
        <v>0.0702</v>
      </c>
      <c r="E50" s="87">
        <v>34953</v>
      </c>
      <c r="F50" s="87">
        <v>39336</v>
      </c>
      <c r="G50" s="88">
        <v>20000000</v>
      </c>
      <c r="H50" s="89">
        <v>99.16</v>
      </c>
      <c r="I50" s="90">
        <f>ROUND(YIELD(E50,F50,D50,H50,100,2,2),4)</f>
        <v>0.0713</v>
      </c>
      <c r="J50" s="91">
        <f t="shared" si="4"/>
        <v>1426000</v>
      </c>
    </row>
    <row r="51" spans="1:10" ht="12.75">
      <c r="A51" s="74">
        <f t="shared" si="5"/>
        <v>45</v>
      </c>
      <c r="B51" s="74" t="s">
        <v>6</v>
      </c>
      <c r="C51" s="85" t="s">
        <v>7</v>
      </c>
      <c r="D51" s="86">
        <v>0.0704</v>
      </c>
      <c r="E51" s="87">
        <v>34953</v>
      </c>
      <c r="F51" s="87">
        <v>39337</v>
      </c>
      <c r="G51" s="88">
        <v>5000000</v>
      </c>
      <c r="H51" s="89">
        <v>99.16</v>
      </c>
      <c r="I51" s="90">
        <f>ROUND(YIELD(E51,F51,D51,H51,100,2,2),4)</f>
        <v>0.0715</v>
      </c>
      <c r="J51" s="91">
        <f t="shared" si="4"/>
        <v>357500</v>
      </c>
    </row>
    <row r="52" spans="1:10" ht="12.75">
      <c r="A52" s="74">
        <f t="shared" si="5"/>
        <v>46</v>
      </c>
      <c r="B52" s="74" t="s">
        <v>6</v>
      </c>
      <c r="C52" s="85" t="s">
        <v>7</v>
      </c>
      <c r="D52" s="86">
        <v>0.0712</v>
      </c>
      <c r="E52" s="87">
        <v>34953</v>
      </c>
      <c r="F52" s="87">
        <v>40434</v>
      </c>
      <c r="G52" s="88">
        <v>7000000</v>
      </c>
      <c r="H52" s="89">
        <v>99.14</v>
      </c>
      <c r="I52" s="90">
        <f>ROUND(YIELD(E52,F52,D52,H52,100,2,2),4)</f>
        <v>0.0721</v>
      </c>
      <c r="J52" s="91">
        <f t="shared" si="4"/>
        <v>504700</v>
      </c>
    </row>
    <row r="53" spans="1:10" ht="12.75">
      <c r="A53" s="74">
        <f t="shared" si="5"/>
        <v>47</v>
      </c>
      <c r="B53" s="74" t="s">
        <v>6</v>
      </c>
      <c r="C53" s="85" t="s">
        <v>7</v>
      </c>
      <c r="D53" s="86">
        <v>0.0735</v>
      </c>
      <c r="E53" s="87">
        <v>34953</v>
      </c>
      <c r="F53" s="87">
        <v>42258</v>
      </c>
      <c r="G53" s="88">
        <v>10000000</v>
      </c>
      <c r="H53" s="89">
        <v>99.04</v>
      </c>
      <c r="I53" s="90">
        <f>ROUND(YIELD(E53,F53,D53,H53,100,2,2),4)</f>
        <v>0.0744</v>
      </c>
      <c r="J53" s="91">
        <f t="shared" si="4"/>
        <v>744000</v>
      </c>
    </row>
    <row r="54" spans="1:10" ht="12.75">
      <c r="A54" s="74">
        <f t="shared" si="5"/>
        <v>48</v>
      </c>
      <c r="B54" s="74" t="s">
        <v>6</v>
      </c>
      <c r="C54" s="85" t="s">
        <v>7</v>
      </c>
      <c r="D54" s="86">
        <v>0.0736</v>
      </c>
      <c r="E54" s="87">
        <v>34953</v>
      </c>
      <c r="F54" s="87">
        <v>42262</v>
      </c>
      <c r="G54" s="88">
        <v>2000000</v>
      </c>
      <c r="H54" s="89">
        <v>99.04</v>
      </c>
      <c r="I54" s="90">
        <f>ROUND(YIELD(E54,F54,D54,H54,100,2,2),4)</f>
        <v>0.0745</v>
      </c>
      <c r="J54" s="91">
        <f t="shared" si="4"/>
        <v>149000</v>
      </c>
    </row>
    <row r="55" spans="1:10" ht="12.75">
      <c r="A55" s="74">
        <f t="shared" si="5"/>
        <v>49</v>
      </c>
      <c r="B55" s="74" t="s">
        <v>6</v>
      </c>
      <c r="C55" s="85" t="s">
        <v>7</v>
      </c>
      <c r="D55" s="86">
        <v>0.0661</v>
      </c>
      <c r="E55" s="87">
        <v>35053</v>
      </c>
      <c r="F55" s="87">
        <v>40168</v>
      </c>
      <c r="G55" s="88">
        <v>3000000</v>
      </c>
      <c r="H55" s="89">
        <v>99.16</v>
      </c>
      <c r="I55" s="90">
        <f>ROUND(YIELD(E55,F55,D55,H55,100,2,2),4)</f>
        <v>0.067</v>
      </c>
      <c r="J55" s="91">
        <f t="shared" si="4"/>
        <v>201000</v>
      </c>
    </row>
    <row r="56" spans="1:10" ht="12.75">
      <c r="A56" s="74">
        <f t="shared" si="5"/>
        <v>50</v>
      </c>
      <c r="B56" s="74" t="s">
        <v>6</v>
      </c>
      <c r="C56" s="85" t="s">
        <v>7</v>
      </c>
      <c r="D56" s="86">
        <v>0.0662</v>
      </c>
      <c r="E56" s="87">
        <v>35053</v>
      </c>
      <c r="F56" s="87">
        <v>40169</v>
      </c>
      <c r="G56" s="88">
        <v>5000000</v>
      </c>
      <c r="H56" s="89">
        <v>99.16</v>
      </c>
      <c r="I56" s="90">
        <f>ROUND(YIELD(E56,F56,D56,H56,100,2,2),4)</f>
        <v>0.0671</v>
      </c>
      <c r="J56" s="91">
        <f t="shared" si="4"/>
        <v>335500</v>
      </c>
    </row>
    <row r="57" spans="1:10" ht="12.75">
      <c r="A57" s="74">
        <f t="shared" si="5"/>
        <v>51</v>
      </c>
      <c r="B57" s="74" t="s">
        <v>6</v>
      </c>
      <c r="C57" s="85" t="s">
        <v>7</v>
      </c>
      <c r="D57" s="86">
        <v>0.0715</v>
      </c>
      <c r="E57" s="87">
        <v>35053</v>
      </c>
      <c r="F57" s="87">
        <v>46010</v>
      </c>
      <c r="G57" s="88">
        <v>15000000</v>
      </c>
      <c r="H57" s="89">
        <v>99.04</v>
      </c>
      <c r="I57" s="90">
        <f>ROUND(YIELD(E57,F57,D57,H57,100,2,2),4)</f>
        <v>0.0723</v>
      </c>
      <c r="J57" s="91">
        <f t="shared" si="4"/>
        <v>1084500</v>
      </c>
    </row>
    <row r="58" spans="1:10" ht="12.75">
      <c r="A58" s="74">
        <f t="shared" si="5"/>
        <v>52</v>
      </c>
      <c r="B58" s="74" t="s">
        <v>6</v>
      </c>
      <c r="C58" s="85" t="s">
        <v>7</v>
      </c>
      <c r="D58" s="86">
        <v>0.0658</v>
      </c>
      <c r="E58" s="87">
        <v>35054</v>
      </c>
      <c r="F58" s="87">
        <v>39072</v>
      </c>
      <c r="G58" s="88">
        <v>10000000</v>
      </c>
      <c r="H58" s="89">
        <v>99.16</v>
      </c>
      <c r="I58" s="90">
        <f>ROUND(YIELD(E58,F58,D58,H58,100,2,2),4)</f>
        <v>0.0669</v>
      </c>
      <c r="J58" s="91">
        <f t="shared" si="4"/>
        <v>669000</v>
      </c>
    </row>
    <row r="59" spans="1:10" ht="12.75">
      <c r="A59" s="74">
        <f t="shared" si="5"/>
        <v>53</v>
      </c>
      <c r="B59" s="74" t="s">
        <v>6</v>
      </c>
      <c r="C59" s="85" t="s">
        <v>7</v>
      </c>
      <c r="D59" s="86">
        <v>0.072</v>
      </c>
      <c r="E59" s="87">
        <v>35054</v>
      </c>
      <c r="F59" s="87">
        <v>46013</v>
      </c>
      <c r="G59" s="88">
        <v>2000000</v>
      </c>
      <c r="H59" s="89">
        <v>99.04</v>
      </c>
      <c r="I59" s="90">
        <f>ROUND(YIELD(E59,F59,D59,H59,100,2,2),4)</f>
        <v>0.0728</v>
      </c>
      <c r="J59" s="91">
        <f t="shared" si="4"/>
        <v>145600</v>
      </c>
    </row>
    <row r="60" spans="1:10" ht="12.75">
      <c r="A60" s="74">
        <f t="shared" si="5"/>
        <v>54</v>
      </c>
      <c r="B60" s="74" t="s">
        <v>6</v>
      </c>
      <c r="C60" s="85" t="s">
        <v>8</v>
      </c>
      <c r="D60" s="86">
        <v>0.0957</v>
      </c>
      <c r="E60" s="87">
        <v>33117</v>
      </c>
      <c r="F60" s="87">
        <v>44075</v>
      </c>
      <c r="G60" s="88">
        <v>25000000</v>
      </c>
      <c r="H60" s="89">
        <v>99.4</v>
      </c>
      <c r="I60" s="90">
        <f>ROUND(YIELD(E60,F60,D60,H60,100,2,2),4)</f>
        <v>0.0963</v>
      </c>
      <c r="J60" s="91">
        <f t="shared" si="4"/>
        <v>2407500</v>
      </c>
    </row>
    <row r="61" spans="1:10" ht="12.75">
      <c r="A61" s="74">
        <f t="shared" si="5"/>
        <v>55</v>
      </c>
      <c r="B61" s="74" t="s">
        <v>6</v>
      </c>
      <c r="C61" s="85" t="s">
        <v>4</v>
      </c>
      <c r="D61" s="86">
        <v>0.0702</v>
      </c>
      <c r="E61" s="87">
        <v>35786</v>
      </c>
      <c r="F61" s="87">
        <v>46722</v>
      </c>
      <c r="G61" s="88">
        <v>300000000</v>
      </c>
      <c r="H61" s="89">
        <v>99</v>
      </c>
      <c r="I61" s="90">
        <f>ROUND(YIELD(E61,F61,D61,H61,100,2,2),4)</f>
        <v>0.071</v>
      </c>
      <c r="J61" s="91">
        <f t="shared" si="4"/>
        <v>21300000</v>
      </c>
    </row>
    <row r="62" spans="1:12" s="96" customFormat="1" ht="12.75">
      <c r="A62" s="74">
        <f t="shared" si="5"/>
        <v>56</v>
      </c>
      <c r="B62" s="95" t="s">
        <v>9</v>
      </c>
      <c r="C62" s="85" t="s">
        <v>4</v>
      </c>
      <c r="D62" s="86">
        <v>0.0674</v>
      </c>
      <c r="E62" s="87">
        <v>35961</v>
      </c>
      <c r="F62" s="87">
        <v>43266</v>
      </c>
      <c r="G62" s="88">
        <v>200000000</v>
      </c>
      <c r="H62" s="89">
        <v>99</v>
      </c>
      <c r="I62" s="90">
        <f>ROUND(YIELD(E62,F62,D62,H62,100,2,2),4)</f>
        <v>0.0683</v>
      </c>
      <c r="J62" s="91">
        <f t="shared" si="4"/>
        <v>13660000</v>
      </c>
      <c r="L62" s="66"/>
    </row>
    <row r="63" spans="1:12" s="96" customFormat="1" ht="12.75">
      <c r="A63" s="74">
        <f t="shared" si="5"/>
        <v>57</v>
      </c>
      <c r="B63" s="95" t="s">
        <v>9</v>
      </c>
      <c r="C63" s="85" t="s">
        <v>5</v>
      </c>
      <c r="D63" s="86">
        <v>0.0646</v>
      </c>
      <c r="E63" s="87">
        <v>36228</v>
      </c>
      <c r="F63" s="87">
        <v>39881</v>
      </c>
      <c r="G63" s="88">
        <v>150000000</v>
      </c>
      <c r="H63" s="89">
        <v>99.27</v>
      </c>
      <c r="I63" s="90">
        <f>ROUND(YIELD(E63,F63,D63,H63,100,2,2),4)</f>
        <v>0.0656</v>
      </c>
      <c r="J63" s="91">
        <f t="shared" si="4"/>
        <v>9840000</v>
      </c>
      <c r="L63" s="66"/>
    </row>
    <row r="64" spans="1:12" s="98" customFormat="1" ht="12.75">
      <c r="A64" s="74">
        <f t="shared" si="5"/>
        <v>58</v>
      </c>
      <c r="B64" s="97"/>
      <c r="C64" s="85" t="s">
        <v>5</v>
      </c>
      <c r="D64" s="86">
        <v>0.07</v>
      </c>
      <c r="E64" s="87">
        <v>36228</v>
      </c>
      <c r="F64" s="87">
        <v>47186</v>
      </c>
      <c r="G64" s="88">
        <v>100000000</v>
      </c>
      <c r="H64" s="89">
        <v>99.045</v>
      </c>
      <c r="I64" s="90">
        <f>ROUND(YIELD(E64,F64,D64,H64,100,2,2),4)</f>
        <v>0.0708</v>
      </c>
      <c r="J64" s="91">
        <f t="shared" si="4"/>
        <v>7080000</v>
      </c>
      <c r="L64" s="66"/>
    </row>
    <row r="65" spans="1:12" s="98" customFormat="1" ht="12.75">
      <c r="A65" s="74">
        <f t="shared" si="5"/>
        <v>59</v>
      </c>
      <c r="B65" s="97"/>
      <c r="C65" s="85" t="s">
        <v>5</v>
      </c>
      <c r="D65" s="86">
        <v>0.0796</v>
      </c>
      <c r="E65" s="87">
        <v>36578</v>
      </c>
      <c r="F65" s="87">
        <v>40231</v>
      </c>
      <c r="G65" s="88">
        <v>225000000</v>
      </c>
      <c r="H65" s="89">
        <v>99.251</v>
      </c>
      <c r="I65" s="90">
        <f>ROUND(YIELD(E65,F65,D65,H65,100,2,2),4)</f>
        <v>0.0807</v>
      </c>
      <c r="J65" s="91">
        <f t="shared" si="4"/>
        <v>18157500</v>
      </c>
      <c r="L65" s="66"/>
    </row>
    <row r="66" spans="1:12" s="98" customFormat="1" ht="12.75">
      <c r="A66" s="74">
        <f t="shared" si="5"/>
        <v>60</v>
      </c>
      <c r="B66" s="97"/>
      <c r="C66" s="85" t="s">
        <v>5</v>
      </c>
      <c r="D66" s="86">
        <v>0.0761</v>
      </c>
      <c r="E66" s="87">
        <v>36777</v>
      </c>
      <c r="F66" s="87">
        <v>39699</v>
      </c>
      <c r="G66" s="88">
        <v>25000000</v>
      </c>
      <c r="H66" s="89">
        <v>99.239</v>
      </c>
      <c r="I66" s="90">
        <f>ROUND(YIELD(E66,F66,D66,H66,100,2,2),4)</f>
        <v>0.0774</v>
      </c>
      <c r="J66" s="91">
        <f t="shared" si="4"/>
        <v>1935000</v>
      </c>
      <c r="L66" s="66"/>
    </row>
    <row r="67" spans="1:12" s="98" customFormat="1" ht="12.75">
      <c r="A67" s="92">
        <f t="shared" si="5"/>
        <v>61</v>
      </c>
      <c r="B67" s="97"/>
      <c r="C67" s="85" t="s">
        <v>7</v>
      </c>
      <c r="D67" s="86">
        <v>0.0769</v>
      </c>
      <c r="E67" s="87">
        <v>36839</v>
      </c>
      <c r="F67" s="87">
        <v>40575</v>
      </c>
      <c r="G67" s="88">
        <v>260000000</v>
      </c>
      <c r="H67" s="89">
        <v>99.281</v>
      </c>
      <c r="I67" s="90">
        <f>ROUND(YIELD(E67,F67,D67,H67,100,2,2),4)</f>
        <v>0.0779</v>
      </c>
      <c r="J67" s="93">
        <f t="shared" si="4"/>
        <v>20254000</v>
      </c>
      <c r="L67" s="66"/>
    </row>
    <row r="68" spans="1:10" ht="12.75">
      <c r="A68" s="74">
        <f t="shared" si="5"/>
        <v>62</v>
      </c>
      <c r="B68" s="74" t="s">
        <v>10</v>
      </c>
      <c r="D68" s="67" t="s">
        <v>11</v>
      </c>
      <c r="E68" s="99"/>
      <c r="F68" s="99"/>
      <c r="G68" s="100"/>
      <c r="J68" s="110">
        <f>'Reacquired Debt (page 8) '!J36</f>
        <v>1016052.36</v>
      </c>
    </row>
    <row r="69" spans="1:11" ht="12.75">
      <c r="A69" s="74">
        <f t="shared" si="5"/>
        <v>63</v>
      </c>
      <c r="B69" s="74"/>
      <c r="C69" s="67" t="s">
        <v>114</v>
      </c>
      <c r="G69" s="91">
        <f>ROUND(SUM(G11:G68),0)</f>
        <v>2028000000</v>
      </c>
      <c r="H69" s="101"/>
      <c r="I69" s="102"/>
      <c r="J69" s="91">
        <f>ROUND(SUM(J11:J68),0)</f>
        <v>152243152</v>
      </c>
      <c r="K69" s="103">
        <f>ROUND(+J69/G69,4)</f>
        <v>0.0751</v>
      </c>
    </row>
    <row r="70" spans="1:2" ht="12.75">
      <c r="A70" s="74">
        <f t="shared" si="5"/>
        <v>64</v>
      </c>
      <c r="B70" s="74"/>
    </row>
    <row r="71" spans="1:10" ht="12.75">
      <c r="A71" s="74">
        <f t="shared" si="5"/>
        <v>65</v>
      </c>
      <c r="B71" s="74"/>
      <c r="C71" s="67" t="s">
        <v>115</v>
      </c>
      <c r="J71" s="91"/>
    </row>
    <row r="72" spans="1:10" ht="12.75">
      <c r="A72" s="74">
        <f t="shared" si="5"/>
        <v>66</v>
      </c>
      <c r="B72" s="74"/>
      <c r="C72" s="67"/>
      <c r="J72" s="91"/>
    </row>
    <row r="73" spans="1:10" ht="12.75">
      <c r="A73" s="74">
        <f t="shared" si="5"/>
        <v>67</v>
      </c>
      <c r="B73" s="74" t="s">
        <v>3</v>
      </c>
      <c r="C73" s="67" t="s">
        <v>187</v>
      </c>
      <c r="D73" s="104">
        <v>0.0645</v>
      </c>
      <c r="E73" s="99">
        <v>34858</v>
      </c>
      <c r="F73" s="105">
        <v>38275</v>
      </c>
      <c r="G73" s="88">
        <v>37337004.02</v>
      </c>
      <c r="H73" s="101">
        <f>'Conservation 1995 (page 6)'!F9</f>
        <v>98.35353918417799</v>
      </c>
      <c r="I73" s="90">
        <f>ROUND('Conservation 1995 (page 6)'!E12,4)</f>
        <v>0.0713</v>
      </c>
      <c r="J73" s="93">
        <f aca="true" t="shared" si="6" ref="J73:J78">ROUND(+I73*G73,0)</f>
        <v>2662128</v>
      </c>
    </row>
    <row r="74" spans="1:10" ht="12.75">
      <c r="A74" s="74">
        <f t="shared" si="5"/>
        <v>68</v>
      </c>
      <c r="B74" s="74" t="s">
        <v>3</v>
      </c>
      <c r="C74" s="67" t="s">
        <v>187</v>
      </c>
      <c r="D74" s="104">
        <v>0.0623</v>
      </c>
      <c r="E74" s="99">
        <v>35648</v>
      </c>
      <c r="F74" s="105">
        <v>37256</v>
      </c>
      <c r="G74" s="88">
        <v>1630687.48</v>
      </c>
      <c r="H74" s="101">
        <f>'Conservation 1997 (page 7)'!F9</f>
        <v>98.01397163543442</v>
      </c>
      <c r="I74" s="106">
        <f>ROUND('Conservation 1997 (page 7)'!E12,4)</f>
        <v>0.0788</v>
      </c>
      <c r="J74" s="93">
        <f t="shared" si="6"/>
        <v>128498</v>
      </c>
    </row>
    <row r="75" spans="1:10" ht="12.75">
      <c r="A75" s="74">
        <f t="shared" si="5"/>
        <v>69</v>
      </c>
      <c r="B75" s="74" t="s">
        <v>3</v>
      </c>
      <c r="C75" s="107" t="s">
        <v>66</v>
      </c>
      <c r="D75" s="86">
        <v>0.05875</v>
      </c>
      <c r="E75" s="108">
        <v>34088</v>
      </c>
      <c r="F75" s="87">
        <v>43922</v>
      </c>
      <c r="G75" s="88">
        <v>23460000</v>
      </c>
      <c r="H75" s="89">
        <v>97.37</v>
      </c>
      <c r="I75" s="90">
        <f>ROUND(YIELD(E75,F75,D75,H75,100,2,2),4)</f>
        <v>0.0607</v>
      </c>
      <c r="J75" s="91">
        <f t="shared" si="6"/>
        <v>1424022</v>
      </c>
    </row>
    <row r="76" spans="1:10" ht="12.75">
      <c r="A76" s="74">
        <f t="shared" si="5"/>
        <v>70</v>
      </c>
      <c r="B76" s="74" t="s">
        <v>3</v>
      </c>
      <c r="C76" s="107" t="s">
        <v>66</v>
      </c>
      <c r="D76" s="86">
        <v>0.068</v>
      </c>
      <c r="E76" s="108">
        <v>33664</v>
      </c>
      <c r="F76" s="87">
        <v>44621</v>
      </c>
      <c r="G76" s="88">
        <v>87500000</v>
      </c>
      <c r="H76" s="89">
        <v>97.69</v>
      </c>
      <c r="I76" s="90">
        <f>ROUND(YIELD(E76,F76,D76,H76,100,2,2),4)</f>
        <v>0.0698</v>
      </c>
      <c r="J76" s="91">
        <f t="shared" si="6"/>
        <v>6107500</v>
      </c>
    </row>
    <row r="77" spans="1:10" ht="12.75">
      <c r="A77" s="74">
        <f t="shared" si="5"/>
        <v>71</v>
      </c>
      <c r="B77" s="74" t="s">
        <v>3</v>
      </c>
      <c r="C77" s="107" t="s">
        <v>66</v>
      </c>
      <c r="D77" s="86">
        <v>0.0705</v>
      </c>
      <c r="E77" s="108">
        <v>33457</v>
      </c>
      <c r="F77" s="87">
        <v>44409</v>
      </c>
      <c r="G77" s="88">
        <v>27500000</v>
      </c>
      <c r="H77" s="89">
        <v>97.33263003636364</v>
      </c>
      <c r="I77" s="90">
        <f>ROUND(YIELD(E77,F77,D77,H77,100,2,2),4)</f>
        <v>0.0727</v>
      </c>
      <c r="J77" s="91">
        <f t="shared" si="6"/>
        <v>1999250</v>
      </c>
    </row>
    <row r="78" spans="1:10" ht="12.75">
      <c r="A78" s="74">
        <f t="shared" si="5"/>
        <v>72</v>
      </c>
      <c r="B78" s="74" t="s">
        <v>3</v>
      </c>
      <c r="C78" s="107" t="s">
        <v>66</v>
      </c>
      <c r="D78" s="86">
        <v>0.0725</v>
      </c>
      <c r="E78" s="108">
        <v>33457</v>
      </c>
      <c r="F78" s="87">
        <v>44409</v>
      </c>
      <c r="G78" s="109">
        <v>23400000</v>
      </c>
      <c r="H78" s="89">
        <v>97.32967474358975</v>
      </c>
      <c r="I78" s="90">
        <f>ROUND(YIELD(E78,F78,D78,H78,100,2,2),4)</f>
        <v>0.0747</v>
      </c>
      <c r="J78" s="110">
        <f t="shared" si="6"/>
        <v>1747980</v>
      </c>
    </row>
    <row r="79" spans="1:11" ht="12.75">
      <c r="A79" s="74">
        <f t="shared" si="5"/>
        <v>73</v>
      </c>
      <c r="B79" s="74"/>
      <c r="D79" s="67" t="s">
        <v>116</v>
      </c>
      <c r="G79" s="91">
        <f>ROUND(SUM(G73:G78),0)</f>
        <v>200827692</v>
      </c>
      <c r="J79" s="91">
        <f>ROUND(SUM(J73:J78),0)</f>
        <v>14069378</v>
      </c>
      <c r="K79" s="103">
        <f>ROUND(+J79/G79,4)</f>
        <v>0.0701</v>
      </c>
    </row>
    <row r="80" spans="1:11" ht="12.75">
      <c r="A80" s="74">
        <f t="shared" si="5"/>
        <v>74</v>
      </c>
      <c r="B80" s="74"/>
      <c r="D80" s="67"/>
      <c r="G80" s="91"/>
      <c r="J80" s="91"/>
      <c r="K80" s="103"/>
    </row>
    <row r="81" spans="1:11" ht="13.5" thickBot="1">
      <c r="A81" s="74">
        <f t="shared" si="5"/>
        <v>75</v>
      </c>
      <c r="B81" s="74"/>
      <c r="C81" s="420" t="s">
        <v>117</v>
      </c>
      <c r="G81" s="421">
        <f>ROUND(G69+G79,0)</f>
        <v>2228827692</v>
      </c>
      <c r="J81" s="421">
        <f>ROUND(J69+J79,0)</f>
        <v>166312530</v>
      </c>
      <c r="K81" s="103">
        <f>ROUND(+J81/G81,4)</f>
        <v>0.0746</v>
      </c>
    </row>
    <row r="82" spans="1:11" ht="13.5" thickTop="1">
      <c r="A82" s="74" t="s">
        <v>1</v>
      </c>
      <c r="B82" s="74"/>
      <c r="G82" s="84" t="s">
        <v>1</v>
      </c>
      <c r="J82" s="84" t="s">
        <v>1</v>
      </c>
      <c r="K82" s="111" t="s">
        <v>1</v>
      </c>
    </row>
    <row r="95" spans="1:9" ht="12.75">
      <c r="A95" s="77"/>
      <c r="B95" s="77"/>
      <c r="I95" s="112"/>
    </row>
    <row r="96" spans="1:9" ht="12.75" hidden="1">
      <c r="A96" s="77"/>
      <c r="B96" s="77"/>
      <c r="D96" s="66" t="s">
        <v>12</v>
      </c>
      <c r="I96" s="103"/>
    </row>
    <row r="97" spans="1:9" ht="12.75" hidden="1">
      <c r="A97" s="77"/>
      <c r="B97" s="77"/>
      <c r="D97" s="66" t="s">
        <v>13</v>
      </c>
      <c r="I97" s="113"/>
    </row>
    <row r="98" spans="1:4" ht="12.75" hidden="1">
      <c r="A98" s="77"/>
      <c r="B98" s="77"/>
      <c r="D98" s="66" t="s">
        <v>14</v>
      </c>
    </row>
    <row r="99" spans="1:4" ht="12.75">
      <c r="A99" s="77"/>
      <c r="B99" s="77"/>
      <c r="C99" s="114" t="s">
        <v>1</v>
      </c>
      <c r="D99" s="67" t="s">
        <v>1</v>
      </c>
    </row>
    <row r="100" spans="1:4" ht="12.75">
      <c r="A100" s="77"/>
      <c r="B100" s="77"/>
      <c r="C100" s="114" t="s">
        <v>1</v>
      </c>
      <c r="D100" s="115" t="s">
        <v>1</v>
      </c>
    </row>
    <row r="101" spans="1:2" ht="12.75">
      <c r="A101" s="77"/>
      <c r="B101" s="77"/>
    </row>
    <row r="102" spans="1:2" ht="12.75">
      <c r="A102" s="77"/>
      <c r="B102" s="77"/>
    </row>
    <row r="103" spans="1:2" ht="12.75">
      <c r="A103" s="77"/>
      <c r="B103" s="77"/>
    </row>
    <row r="104" spans="1:2" ht="12.75">
      <c r="A104" s="77"/>
      <c r="B104" s="77"/>
    </row>
    <row r="105" spans="1:2" ht="12.75">
      <c r="A105" s="77"/>
      <c r="B105" s="77"/>
    </row>
    <row r="106" spans="1:2" ht="12.75">
      <c r="A106" s="77"/>
      <c r="B106" s="77"/>
    </row>
    <row r="107" spans="1:2" ht="12.75">
      <c r="A107" s="77"/>
      <c r="B107" s="77"/>
    </row>
    <row r="108" spans="1:2" ht="12.75">
      <c r="A108" s="77"/>
      <c r="B108" s="77"/>
    </row>
    <row r="109" spans="1:2" ht="12.75">
      <c r="A109" s="77"/>
      <c r="B109" s="77"/>
    </row>
    <row r="110" ht="12.75">
      <c r="D110" s="85"/>
    </row>
    <row r="111" spans="4:6" ht="12.75">
      <c r="D111" s="71"/>
      <c r="F111" s="116" t="s">
        <v>1</v>
      </c>
    </row>
    <row r="112" ht="12.75">
      <c r="D112" s="99"/>
    </row>
  </sheetData>
  <printOptions/>
  <pageMargins left="0.36" right="0.25" top="0.8" bottom="0.43" header="0.44" footer="0.19"/>
  <pageSetup horizontalDpi="600" verticalDpi="600" orientation="portrait" scale="91" r:id="rId1"/>
  <headerFooter alignWithMargins="0">
    <oddHeader>&amp;R&amp;"Times New Roman,Regular"Page &amp;P+2&amp;"PALENTINO,Regular"&amp;10
</oddHeader>
    <oddFooter xml:space="preserve">&amp;L&amp;"Times New Roman,Regular"&amp;10&amp;F
&amp;D&amp;R 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B5" sqref="B5"/>
    </sheetView>
  </sheetViews>
  <sheetFormatPr defaultColWidth="8.796875" defaultRowHeight="15"/>
  <cols>
    <col min="1" max="1" width="4.59765625" style="85" customWidth="1"/>
    <col min="2" max="2" width="17.19921875" style="85" customWidth="1"/>
    <col min="3" max="5" width="9" style="85" customWidth="1"/>
    <col min="6" max="6" width="12" style="85" customWidth="1"/>
    <col min="7" max="8" width="9" style="85" customWidth="1"/>
    <col min="9" max="9" width="3.59765625" style="85" customWidth="1"/>
    <col min="10" max="10" width="10.8984375" style="85" bestFit="1" customWidth="1"/>
    <col min="11" max="16384" width="9" style="85" customWidth="1"/>
  </cols>
  <sheetData>
    <row r="1" spans="1:10" ht="15.75">
      <c r="A1" s="520" t="s">
        <v>85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5.75">
      <c r="A2" s="521" t="s">
        <v>108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0" ht="15.75">
      <c r="A3" s="521" t="s">
        <v>121</v>
      </c>
      <c r="B3" s="521"/>
      <c r="C3" s="521"/>
      <c r="D3" s="521"/>
      <c r="E3" s="521"/>
      <c r="F3" s="521"/>
      <c r="G3" s="521"/>
      <c r="H3" s="521"/>
      <c r="I3" s="521"/>
      <c r="J3" s="521"/>
    </row>
    <row r="4" spans="1:10" s="467" customFormat="1" ht="15.75">
      <c r="A4" s="522" t="str">
        <f>'Cost of Cap. (page 1)'!A7</f>
        <v>Cause No. ____________</v>
      </c>
      <c r="B4" s="522"/>
      <c r="C4" s="522"/>
      <c r="D4" s="522"/>
      <c r="E4" s="522"/>
      <c r="F4" s="522"/>
      <c r="G4" s="522"/>
      <c r="H4" s="522"/>
      <c r="I4" s="522"/>
      <c r="J4" s="522"/>
    </row>
    <row r="5" ht="12.75">
      <c r="A5" s="74">
        <v>1</v>
      </c>
    </row>
    <row r="6" ht="12.75">
      <c r="A6" s="74">
        <v>2</v>
      </c>
    </row>
    <row r="7" spans="1:10" ht="12.75">
      <c r="A7" s="74">
        <v>3</v>
      </c>
      <c r="B7" s="75"/>
      <c r="C7" s="75"/>
      <c r="D7" s="75"/>
      <c r="E7" s="75"/>
      <c r="F7" s="76" t="s">
        <v>33</v>
      </c>
      <c r="G7" s="77" t="s">
        <v>37</v>
      </c>
      <c r="H7" s="78" t="s">
        <v>2</v>
      </c>
      <c r="I7" s="79"/>
      <c r="J7" s="75"/>
    </row>
    <row r="8" spans="1:11" ht="12.75">
      <c r="A8" s="74">
        <f>A7+1</f>
        <v>4</v>
      </c>
      <c r="B8" s="75"/>
      <c r="C8" s="75"/>
      <c r="D8" s="77" t="s">
        <v>33</v>
      </c>
      <c r="E8" s="77" t="s">
        <v>68</v>
      </c>
      <c r="F8" s="76" t="s">
        <v>70</v>
      </c>
      <c r="G8" s="77" t="s">
        <v>47</v>
      </c>
      <c r="H8" s="77" t="s">
        <v>38</v>
      </c>
      <c r="J8" s="76" t="s">
        <v>39</v>
      </c>
      <c r="K8" s="77" t="s">
        <v>38</v>
      </c>
    </row>
    <row r="9" spans="1:11" ht="12.75">
      <c r="A9" s="74">
        <f>A8+1</f>
        <v>5</v>
      </c>
      <c r="B9" s="80"/>
      <c r="C9" s="81" t="s">
        <v>110</v>
      </c>
      <c r="D9" s="82" t="s">
        <v>31</v>
      </c>
      <c r="E9" s="82" t="s">
        <v>31</v>
      </c>
      <c r="F9" s="83" t="s">
        <v>112</v>
      </c>
      <c r="G9" s="82" t="s">
        <v>113</v>
      </c>
      <c r="H9" s="82" t="s">
        <v>42</v>
      </c>
      <c r="J9" s="83" t="s">
        <v>74</v>
      </c>
      <c r="K9" s="82" t="s">
        <v>42</v>
      </c>
    </row>
    <row r="10" spans="1:11" ht="12.75">
      <c r="A10" s="74">
        <f>A9+1</f>
        <v>6</v>
      </c>
      <c r="B10" s="67"/>
      <c r="C10" s="66"/>
      <c r="D10" s="66"/>
      <c r="E10" s="66"/>
      <c r="F10" s="84"/>
      <c r="G10" s="66"/>
      <c r="H10" s="66"/>
      <c r="J10" s="84"/>
      <c r="K10" s="66"/>
    </row>
    <row r="11" spans="1:11" ht="12.75">
      <c r="A11" s="74">
        <f aca="true" t="shared" si="0" ref="A11:A55">A10+1</f>
        <v>7</v>
      </c>
      <c r="B11" s="80" t="s">
        <v>186</v>
      </c>
      <c r="F11" s="422">
        <f>'Cost of Debt (page 3&amp;4) '!G81</f>
        <v>2228827692</v>
      </c>
      <c r="J11" s="422">
        <f>'Cost of Debt (page 3&amp;4) '!J81</f>
        <v>166312530</v>
      </c>
      <c r="K11" s="103">
        <f>ROUND(+J11/F11,4)</f>
        <v>0.0746</v>
      </c>
    </row>
    <row r="12" ht="12.75">
      <c r="A12" s="74">
        <f t="shared" si="0"/>
        <v>8</v>
      </c>
    </row>
    <row r="13" spans="1:6" ht="12.75">
      <c r="A13" s="74">
        <f t="shared" si="0"/>
        <v>9</v>
      </c>
      <c r="B13" s="85" t="s">
        <v>122</v>
      </c>
      <c r="F13" s="119"/>
    </row>
    <row r="14" spans="1:2" ht="12.75">
      <c r="A14" s="74">
        <f t="shared" si="0"/>
        <v>10</v>
      </c>
      <c r="B14" s="85" t="s">
        <v>228</v>
      </c>
    </row>
    <row r="15" ht="12.75">
      <c r="A15" s="74">
        <f t="shared" si="0"/>
        <v>11</v>
      </c>
    </row>
    <row r="16" spans="1:2" ht="12.75">
      <c r="A16" s="74">
        <f t="shared" si="0"/>
        <v>12</v>
      </c>
      <c r="B16" s="80" t="s">
        <v>230</v>
      </c>
    </row>
    <row r="17" spans="1:11" ht="12.75">
      <c r="A17" s="74">
        <f t="shared" si="0"/>
        <v>13</v>
      </c>
      <c r="B17" s="85" t="s">
        <v>187</v>
      </c>
      <c r="C17" s="121">
        <v>0.0623</v>
      </c>
      <c r="D17" s="87">
        <v>35648</v>
      </c>
      <c r="E17" s="87">
        <v>37132</v>
      </c>
      <c r="F17" s="123">
        <f>'LTD Retirement (page 9)'!F30*-1</f>
        <v>-1630687.48</v>
      </c>
      <c r="G17" s="89">
        <v>98.01397163543442</v>
      </c>
      <c r="H17" s="120">
        <f>'Conservation 1997 (page 7)'!E12</f>
        <v>0.0788</v>
      </c>
      <c r="I17" s="107" t="s">
        <v>283</v>
      </c>
      <c r="J17" s="123">
        <f aca="true" t="shared" si="1" ref="J17:J33">ROUND(F17*H17,2)</f>
        <v>-128498.17</v>
      </c>
      <c r="K17" s="124"/>
    </row>
    <row r="18" spans="1:11" ht="12.75">
      <c r="A18" s="74">
        <f t="shared" si="0"/>
        <v>14</v>
      </c>
      <c r="B18" s="85" t="s">
        <v>4</v>
      </c>
      <c r="C18" s="86">
        <v>0.0851</v>
      </c>
      <c r="D18" s="87">
        <v>33499</v>
      </c>
      <c r="E18" s="87">
        <v>37152</v>
      </c>
      <c r="F18" s="119">
        <f>'LTD Retirement (page 9)'!G30*-1</f>
        <v>-7000000</v>
      </c>
      <c r="G18" s="89">
        <v>99.01</v>
      </c>
      <c r="H18" s="90">
        <f>ROUND(YIELD(D18,E18,C18,G18,100,2,2),4)</f>
        <v>0.0866</v>
      </c>
      <c r="I18" s="107" t="s">
        <v>283</v>
      </c>
      <c r="J18" s="123">
        <f t="shared" si="1"/>
        <v>-606200</v>
      </c>
      <c r="K18" s="124"/>
    </row>
    <row r="19" spans="1:11" ht="12.75">
      <c r="A19" s="74">
        <f t="shared" si="0"/>
        <v>15</v>
      </c>
      <c r="B19" s="85" t="s">
        <v>4</v>
      </c>
      <c r="C19" s="86">
        <v>0.0855</v>
      </c>
      <c r="D19" s="87">
        <v>33499</v>
      </c>
      <c r="E19" s="87">
        <v>37153</v>
      </c>
      <c r="F19" s="119">
        <f>'LTD Retirement (page 9)'!H30*-1</f>
        <v>-1000000</v>
      </c>
      <c r="G19" s="89">
        <v>99.01</v>
      </c>
      <c r="H19" s="90">
        <f>ROUND(YIELD(D19,E19,C19,G19,100,2,2),4)</f>
        <v>0.087</v>
      </c>
      <c r="I19" s="107" t="s">
        <v>283</v>
      </c>
      <c r="J19" s="123">
        <f t="shared" si="1"/>
        <v>-87000</v>
      </c>
      <c r="K19" s="124"/>
    </row>
    <row r="20" spans="1:11" ht="12.75">
      <c r="A20" s="74">
        <f t="shared" si="0"/>
        <v>16</v>
      </c>
      <c r="B20" s="85" t="s">
        <v>4</v>
      </c>
      <c r="C20" s="86">
        <v>0.0854</v>
      </c>
      <c r="D20" s="87">
        <v>33499</v>
      </c>
      <c r="E20" s="87">
        <v>37154</v>
      </c>
      <c r="F20" s="119">
        <f>'LTD Retirement (page 9)'!I30*-1</f>
        <v>-8000000</v>
      </c>
      <c r="G20" s="89">
        <v>99.01</v>
      </c>
      <c r="H20" s="90">
        <f>ROUND(YIELD(D20,E20,C20,G20,100,2,2),4)</f>
        <v>0.0869</v>
      </c>
      <c r="I20" s="107" t="s">
        <v>283</v>
      </c>
      <c r="J20" s="123">
        <f t="shared" si="1"/>
        <v>-695200</v>
      </c>
      <c r="K20" s="124"/>
    </row>
    <row r="21" spans="1:11" ht="12.75">
      <c r="A21" s="74">
        <f t="shared" si="0"/>
        <v>17</v>
      </c>
      <c r="B21" s="85" t="s">
        <v>4</v>
      </c>
      <c r="C21" s="86">
        <v>0.0852</v>
      </c>
      <c r="D21" s="87">
        <v>33499</v>
      </c>
      <c r="E21" s="87">
        <v>37155</v>
      </c>
      <c r="F21" s="119">
        <f>'LTD Retirement (page 9)'!J30*-1</f>
        <v>-3000000</v>
      </c>
      <c r="G21" s="89">
        <v>99.01</v>
      </c>
      <c r="H21" s="90">
        <f>ROUND(YIELD(D21,E21,C21,G21,100,2,2),4)</f>
        <v>0.0867</v>
      </c>
      <c r="I21" s="107" t="s">
        <v>283</v>
      </c>
      <c r="J21" s="123">
        <f t="shared" si="1"/>
        <v>-260100</v>
      </c>
      <c r="K21" s="124"/>
    </row>
    <row r="22" spans="1:11" ht="12.75">
      <c r="A22" s="74">
        <f t="shared" si="0"/>
        <v>18</v>
      </c>
      <c r="B22" s="85" t="s">
        <v>4</v>
      </c>
      <c r="C22" s="86">
        <v>0.0753</v>
      </c>
      <c r="D22" s="87">
        <v>33612</v>
      </c>
      <c r="E22" s="87">
        <v>37265</v>
      </c>
      <c r="F22" s="119">
        <f>'LTD Retirement (page 9)'!K30*-1</f>
        <v>-10000000</v>
      </c>
      <c r="G22" s="89">
        <v>99.01</v>
      </c>
      <c r="H22" s="90">
        <f>ROUND(YIELD(D22,E22,C22,G22,100,2,2),4)</f>
        <v>0.0767</v>
      </c>
      <c r="I22" s="107" t="s">
        <v>283</v>
      </c>
      <c r="J22" s="123">
        <f t="shared" si="1"/>
        <v>-767000</v>
      </c>
      <c r="K22" s="124"/>
    </row>
    <row r="23" spans="1:11" ht="12.75">
      <c r="A23" s="74">
        <f t="shared" si="0"/>
        <v>19</v>
      </c>
      <c r="B23" s="85" t="s">
        <v>4</v>
      </c>
      <c r="C23" s="86">
        <v>0.0785</v>
      </c>
      <c r="D23" s="87">
        <v>33753</v>
      </c>
      <c r="E23" s="87">
        <v>37405</v>
      </c>
      <c r="F23" s="119">
        <f>'LTD Retirement (page 9)'!L30*-1</f>
        <v>-30000000</v>
      </c>
      <c r="G23" s="89">
        <v>99.265776</v>
      </c>
      <c r="H23" s="90">
        <f>ROUND(YIELD(D23,E23,C23,G23,100,2,2),4)</f>
        <v>0.0796</v>
      </c>
      <c r="I23" s="107" t="s">
        <v>283</v>
      </c>
      <c r="J23" s="123">
        <f t="shared" si="1"/>
        <v>-2388000</v>
      </c>
      <c r="K23" s="124"/>
    </row>
    <row r="24" spans="1:11" ht="12.75">
      <c r="A24" s="74">
        <f t="shared" si="0"/>
        <v>20</v>
      </c>
      <c r="B24" s="85" t="s">
        <v>4</v>
      </c>
      <c r="C24" s="86">
        <v>0.0791</v>
      </c>
      <c r="D24" s="87">
        <v>33771</v>
      </c>
      <c r="E24" s="87">
        <v>37424</v>
      </c>
      <c r="F24" s="119">
        <f>'LTD Retirement (page 9)'!M30*-1</f>
        <v>-20000000</v>
      </c>
      <c r="G24" s="89">
        <v>99.01</v>
      </c>
      <c r="H24" s="90">
        <f>ROUND(YIELD(D24,E24,C24,G24,100,2,2),4)</f>
        <v>0.0806</v>
      </c>
      <c r="I24" s="107" t="s">
        <v>283</v>
      </c>
      <c r="J24" s="123">
        <f t="shared" si="1"/>
        <v>-1612000</v>
      </c>
      <c r="K24" s="124"/>
    </row>
    <row r="25" spans="1:11" ht="12.75">
      <c r="A25" s="74">
        <f t="shared" si="0"/>
        <v>21</v>
      </c>
      <c r="B25" s="85" t="s">
        <v>4</v>
      </c>
      <c r="C25" s="86">
        <v>0.0707</v>
      </c>
      <c r="D25" s="87">
        <v>33844</v>
      </c>
      <c r="E25" s="87">
        <v>37496</v>
      </c>
      <c r="F25" s="119">
        <f>'LTD Retirement (page 9)'!N30*-1</f>
        <v>-27000000</v>
      </c>
      <c r="G25" s="89">
        <v>99.26759259259259</v>
      </c>
      <c r="H25" s="90">
        <f>ROUND(YIELD(D25,E25,C25,G25,100,2,2),4)</f>
        <v>0.0717</v>
      </c>
      <c r="I25" s="107" t="s">
        <v>283</v>
      </c>
      <c r="J25" s="123">
        <f t="shared" si="1"/>
        <v>-1935900</v>
      </c>
      <c r="K25" s="124"/>
    </row>
    <row r="26" spans="1:11" ht="12.75">
      <c r="A26" s="74">
        <f t="shared" si="0"/>
        <v>22</v>
      </c>
      <c r="B26" s="85" t="s">
        <v>4</v>
      </c>
      <c r="C26" s="86">
        <v>0.0715</v>
      </c>
      <c r="D26" s="87">
        <v>33858</v>
      </c>
      <c r="E26" s="87">
        <v>37510</v>
      </c>
      <c r="F26" s="119">
        <f>'LTD Retirement (page 9)'!O30*-1</f>
        <v>-5000000</v>
      </c>
      <c r="G26" s="89">
        <v>99.265</v>
      </c>
      <c r="H26" s="90">
        <f>ROUND(YIELD(D26,E26,C26,G26,100,2,2),4)</f>
        <v>0.0725</v>
      </c>
      <c r="I26" s="107" t="s">
        <v>283</v>
      </c>
      <c r="J26" s="123">
        <f t="shared" si="1"/>
        <v>-362500</v>
      </c>
      <c r="K26" s="124"/>
    </row>
    <row r="27" spans="1:11" ht="12.75">
      <c r="A27" s="74">
        <f t="shared" si="0"/>
        <v>23</v>
      </c>
      <c r="B27" s="85" t="s">
        <v>5</v>
      </c>
      <c r="C27" s="86">
        <v>0.07625</v>
      </c>
      <c r="D27" s="87">
        <v>33948</v>
      </c>
      <c r="E27" s="87">
        <v>37600</v>
      </c>
      <c r="F27" s="119">
        <f>'LTD Retirement (page 9)'!P30*-1</f>
        <v>-19791667</v>
      </c>
      <c r="G27" s="89">
        <v>99.12</v>
      </c>
      <c r="H27" s="90">
        <f>ROUND(YIELD(D27,E27,C27,G27,100,2,2),4)</f>
        <v>0.0775</v>
      </c>
      <c r="I27" s="107" t="s">
        <v>283</v>
      </c>
      <c r="J27" s="123">
        <f t="shared" si="1"/>
        <v>-1533854.19</v>
      </c>
      <c r="K27" s="124"/>
    </row>
    <row r="28" spans="1:11" ht="12.75">
      <c r="A28" s="74">
        <f t="shared" si="0"/>
        <v>24</v>
      </c>
      <c r="B28" s="85" t="s">
        <v>5</v>
      </c>
      <c r="C28" s="86">
        <v>0.0702</v>
      </c>
      <c r="D28" s="87">
        <v>34009</v>
      </c>
      <c r="E28" s="87">
        <v>37662</v>
      </c>
      <c r="F28" s="119">
        <f>'LTD Retirement (page 9)'!Q30*-1</f>
        <v>-18750000</v>
      </c>
      <c r="G28" s="89">
        <v>99.25833333333334</v>
      </c>
      <c r="H28" s="90">
        <f>ROUND(YIELD(D28,E28,C28,G28,100,2,2),4)</f>
        <v>0.0713</v>
      </c>
      <c r="I28" s="107" t="s">
        <v>283</v>
      </c>
      <c r="J28" s="123">
        <f t="shared" si="1"/>
        <v>-1336875</v>
      </c>
      <c r="K28" s="124"/>
    </row>
    <row r="29" spans="1:11" ht="12.75">
      <c r="A29" s="74">
        <f t="shared" si="0"/>
        <v>25</v>
      </c>
      <c r="B29" s="85" t="s">
        <v>5</v>
      </c>
      <c r="C29" s="86">
        <v>0.0631</v>
      </c>
      <c r="D29" s="87">
        <v>34199</v>
      </c>
      <c r="E29" s="87">
        <v>37851</v>
      </c>
      <c r="F29" s="119">
        <f>'LTD Retirement (page 9)'!R30*-1</f>
        <v>-625000</v>
      </c>
      <c r="G29" s="89">
        <v>99.12</v>
      </c>
      <c r="H29" s="90">
        <f>ROUND(YIELD(D29,E29,C29,G29,100,2,2),4)</f>
        <v>0.0643</v>
      </c>
      <c r="I29" s="107" t="s">
        <v>283</v>
      </c>
      <c r="J29" s="123">
        <f t="shared" si="1"/>
        <v>-40187.5</v>
      </c>
      <c r="K29" s="124"/>
    </row>
    <row r="30" spans="1:11" ht="12.75">
      <c r="A30" s="74">
        <f t="shared" si="0"/>
        <v>26</v>
      </c>
      <c r="B30" s="85" t="s">
        <v>5</v>
      </c>
      <c r="C30" s="86">
        <v>0.0624</v>
      </c>
      <c r="D30" s="87">
        <v>34200</v>
      </c>
      <c r="E30" s="87">
        <v>37852</v>
      </c>
      <c r="F30" s="119">
        <f>'LTD Retirement (page 9)'!S30*-1</f>
        <v>-187500</v>
      </c>
      <c r="G30" s="89">
        <v>99.12</v>
      </c>
      <c r="H30" s="90">
        <f>ROUND(YIELD(D30,E30,C30,G30,100,2,2),4)</f>
        <v>0.0636</v>
      </c>
      <c r="I30" s="107" t="s">
        <v>283</v>
      </c>
      <c r="J30" s="123">
        <f t="shared" si="1"/>
        <v>-11925</v>
      </c>
      <c r="K30" s="124"/>
    </row>
    <row r="31" spans="1:11" ht="12.75">
      <c r="A31" s="74">
        <f t="shared" si="0"/>
        <v>27</v>
      </c>
      <c r="B31" s="85" t="s">
        <v>5</v>
      </c>
      <c r="C31" s="86">
        <v>0.0623</v>
      </c>
      <c r="D31" s="87">
        <v>34205</v>
      </c>
      <c r="E31" s="87">
        <v>37858</v>
      </c>
      <c r="F31" s="119">
        <f>'LTD Retirement (page 9)'!T30*-1</f>
        <v>-187500</v>
      </c>
      <c r="G31" s="89">
        <v>99.12</v>
      </c>
      <c r="H31" s="90">
        <f>ROUND(YIELD(D31,E31,C31,G31,100,2,2),4)</f>
        <v>0.0635</v>
      </c>
      <c r="I31" s="107" t="s">
        <v>283</v>
      </c>
      <c r="J31" s="123">
        <f t="shared" si="1"/>
        <v>-11906.25</v>
      </c>
      <c r="K31" s="124"/>
    </row>
    <row r="32" spans="1:11" ht="12.75">
      <c r="A32" s="74">
        <f t="shared" si="0"/>
        <v>28</v>
      </c>
      <c r="B32" s="85" t="s">
        <v>5</v>
      </c>
      <c r="C32" s="86">
        <v>0.063</v>
      </c>
      <c r="D32" s="87">
        <v>34205</v>
      </c>
      <c r="E32" s="87">
        <v>37859</v>
      </c>
      <c r="F32" s="119">
        <f>'LTD Retirement (page 9)'!U30*-1</f>
        <v>-2500000</v>
      </c>
      <c r="G32" s="89">
        <v>99.12</v>
      </c>
      <c r="H32" s="90">
        <f>ROUND(YIELD(D32,E32,C32,G32,100,2,2),4)</f>
        <v>0.0642</v>
      </c>
      <c r="I32" s="107" t="s">
        <v>283</v>
      </c>
      <c r="J32" s="123">
        <f t="shared" si="1"/>
        <v>-160500</v>
      </c>
      <c r="K32" s="124"/>
    </row>
    <row r="33" spans="1:11" ht="12.75">
      <c r="A33" s="74">
        <f t="shared" si="0"/>
        <v>29</v>
      </c>
      <c r="B33" s="85" t="s">
        <v>187</v>
      </c>
      <c r="C33" s="121">
        <v>0.0645</v>
      </c>
      <c r="D33" s="87">
        <v>34858</v>
      </c>
      <c r="E33" s="87">
        <v>38275</v>
      </c>
      <c r="F33" s="123">
        <f>'LTD Retirement (page 9)'!V30*-1</f>
        <v>-25672195.020000003</v>
      </c>
      <c r="G33" s="89">
        <v>98.35353918417799</v>
      </c>
      <c r="H33" s="90">
        <f>'Conservation 1995 (page 6)'!E12</f>
        <v>0.0713</v>
      </c>
      <c r="I33" s="107" t="s">
        <v>283</v>
      </c>
      <c r="J33" s="123">
        <f t="shared" si="1"/>
        <v>-1830427.5</v>
      </c>
      <c r="K33" s="124"/>
    </row>
    <row r="34" spans="1:11" ht="12.75">
      <c r="A34" s="74">
        <f t="shared" si="0"/>
        <v>30</v>
      </c>
      <c r="C34" s="121"/>
      <c r="D34" s="87"/>
      <c r="E34" s="87"/>
      <c r="F34" s="123"/>
      <c r="G34" s="89"/>
      <c r="H34" s="90"/>
      <c r="I34" s="107"/>
      <c r="J34" s="123"/>
      <c r="K34" s="124"/>
    </row>
    <row r="35" spans="1:11" ht="12.75">
      <c r="A35" s="74">
        <f t="shared" si="0"/>
        <v>31</v>
      </c>
      <c r="B35" s="80" t="s">
        <v>231</v>
      </c>
      <c r="C35" s="121"/>
      <c r="D35" s="87"/>
      <c r="E35" s="87"/>
      <c r="F35" s="123"/>
      <c r="G35" s="89"/>
      <c r="H35" s="90"/>
      <c r="I35" s="107"/>
      <c r="J35" s="123"/>
      <c r="K35" s="124"/>
    </row>
    <row r="36" spans="1:11" ht="12.75">
      <c r="A36" s="74">
        <f t="shared" si="0"/>
        <v>32</v>
      </c>
      <c r="B36" s="85" t="s">
        <v>4</v>
      </c>
      <c r="C36" s="86">
        <v>0.084</v>
      </c>
      <c r="D36" s="87">
        <v>33616</v>
      </c>
      <c r="E36" s="87">
        <v>44573</v>
      </c>
      <c r="F36" s="119">
        <f>'Proforma LTD Retire (page 10)'!F32*-1</f>
        <v>-3000000</v>
      </c>
      <c r="G36" s="89">
        <v>98.89</v>
      </c>
      <c r="H36" s="90">
        <f>ROUND(YIELD(D36,E36,C36,G36,100,2,2),4)</f>
        <v>0.085</v>
      </c>
      <c r="I36" s="107" t="s">
        <v>229</v>
      </c>
      <c r="J36" s="123">
        <f aca="true" t="shared" si="2" ref="J36:J41">ROUND(F36*H36,2)</f>
        <v>-255000</v>
      </c>
      <c r="K36" s="124"/>
    </row>
    <row r="37" spans="1:11" ht="12.75">
      <c r="A37" s="74">
        <f t="shared" si="0"/>
        <v>33</v>
      </c>
      <c r="B37" s="85" t="s">
        <v>4</v>
      </c>
      <c r="C37" s="86">
        <v>0.0839</v>
      </c>
      <c r="D37" s="87">
        <v>33616</v>
      </c>
      <c r="E37" s="87">
        <v>44574</v>
      </c>
      <c r="F37" s="119">
        <f>'Proforma LTD Retire (page 10)'!G32*-1</f>
        <v>-7000000</v>
      </c>
      <c r="G37" s="89">
        <v>98.89</v>
      </c>
      <c r="H37" s="90">
        <f>ROUND(YIELD(D37,E37,C37,G37,100,2,2),4)</f>
        <v>0.0849</v>
      </c>
      <c r="I37" s="107" t="s">
        <v>229</v>
      </c>
      <c r="J37" s="123">
        <f t="shared" si="2"/>
        <v>-594300</v>
      </c>
      <c r="K37" s="124"/>
    </row>
    <row r="38" spans="1:11" ht="12.75">
      <c r="A38" s="74">
        <f t="shared" si="0"/>
        <v>34</v>
      </c>
      <c r="B38" s="85" t="s">
        <v>4</v>
      </c>
      <c r="C38" s="86">
        <v>0.0859</v>
      </c>
      <c r="D38" s="87">
        <v>33703</v>
      </c>
      <c r="E38" s="87">
        <v>41008</v>
      </c>
      <c r="F38" s="119">
        <f>'Proforma LTD Retire (page 10)'!H32*-1</f>
        <v>-5000000</v>
      </c>
      <c r="G38" s="89">
        <v>99.1401274</v>
      </c>
      <c r="H38" s="90">
        <f>ROUND(YIELD(D38,E38,C38,G38,100,2,2),4)</f>
        <v>0.0868</v>
      </c>
      <c r="I38" s="107" t="s">
        <v>229</v>
      </c>
      <c r="J38" s="123">
        <f t="shared" si="2"/>
        <v>-434000</v>
      </c>
      <c r="K38" s="124"/>
    </row>
    <row r="39" spans="1:11" ht="12.75">
      <c r="A39" s="74">
        <f t="shared" si="0"/>
        <v>35</v>
      </c>
      <c r="B39" s="85" t="s">
        <v>4</v>
      </c>
      <c r="C39" s="86">
        <v>0.084</v>
      </c>
      <c r="D39" s="87">
        <v>33731</v>
      </c>
      <c r="E39" s="87">
        <v>39209</v>
      </c>
      <c r="F39" s="119">
        <f>'Proforma LTD Retire (page 10)'!I32*-1</f>
        <v>-10000000</v>
      </c>
      <c r="G39" s="89">
        <v>99.19012740000001</v>
      </c>
      <c r="H39" s="90">
        <f>ROUND(YIELD(D39,E39,C39,G39,100,2,2),4)</f>
        <v>0.085</v>
      </c>
      <c r="I39" s="107" t="s">
        <v>229</v>
      </c>
      <c r="J39" s="123">
        <f t="shared" si="2"/>
        <v>-850000</v>
      </c>
      <c r="K39" s="124"/>
    </row>
    <row r="40" spans="1:11" ht="12.75">
      <c r="A40" s="74">
        <f t="shared" si="0"/>
        <v>36</v>
      </c>
      <c r="B40" s="85" t="s">
        <v>4</v>
      </c>
      <c r="C40" s="86">
        <v>0.0825</v>
      </c>
      <c r="D40" s="87">
        <v>33828</v>
      </c>
      <c r="E40" s="87">
        <v>44785</v>
      </c>
      <c r="F40" s="119">
        <f>'Proforma LTD Retire (page 10)'!J32*-1</f>
        <v>-25000000</v>
      </c>
      <c r="G40" s="89">
        <v>98.89</v>
      </c>
      <c r="H40" s="90">
        <f>ROUND(YIELD(D40,E40,C40,G40,100,2,2),4)</f>
        <v>0.0835</v>
      </c>
      <c r="I40" s="107" t="s">
        <v>229</v>
      </c>
      <c r="J40" s="123">
        <f t="shared" si="2"/>
        <v>-2087500</v>
      </c>
      <c r="K40" s="124"/>
    </row>
    <row r="41" spans="1:11" ht="12.75">
      <c r="A41" s="74">
        <f t="shared" si="0"/>
        <v>37</v>
      </c>
      <c r="B41" s="85" t="s">
        <v>5</v>
      </c>
      <c r="C41" s="86">
        <v>0.082</v>
      </c>
      <c r="D41" s="87">
        <v>33959</v>
      </c>
      <c r="E41" s="87">
        <v>41264</v>
      </c>
      <c r="F41" s="119">
        <f>'Proforma LTD Retire (page 10)'!K32*-1</f>
        <v>-23750000</v>
      </c>
      <c r="G41" s="89">
        <v>99.11666666666666</v>
      </c>
      <c r="H41" s="90">
        <f>ROUND(YIELD(D41,E41,C41,G41,100,2,2),4)</f>
        <v>0.0829</v>
      </c>
      <c r="I41" s="107" t="s">
        <v>229</v>
      </c>
      <c r="J41" s="123">
        <f t="shared" si="2"/>
        <v>-1968875</v>
      </c>
      <c r="K41" s="124"/>
    </row>
    <row r="42" spans="1:11" ht="12.75">
      <c r="A42" s="74">
        <f t="shared" si="0"/>
        <v>38</v>
      </c>
      <c r="C42" s="121"/>
      <c r="D42" s="87"/>
      <c r="E42" s="87"/>
      <c r="F42" s="123"/>
      <c r="G42" s="89"/>
      <c r="H42" s="90"/>
      <c r="I42" s="107"/>
      <c r="J42" s="123"/>
      <c r="K42" s="124"/>
    </row>
    <row r="43" spans="1:11" ht="12.75">
      <c r="A43" s="74">
        <f t="shared" si="0"/>
        <v>39</v>
      </c>
      <c r="B43" s="85" t="s">
        <v>236</v>
      </c>
      <c r="F43" s="512"/>
      <c r="G43" s="512"/>
      <c r="H43" s="512"/>
      <c r="I43" s="512"/>
      <c r="J43" s="513">
        <f>'Reacquired Debt (page 8) '!J58</f>
        <v>-200907.9</v>
      </c>
      <c r="K43" s="119"/>
    </row>
    <row r="44" ht="12.75">
      <c r="A44" s="74">
        <f t="shared" si="0"/>
        <v>40</v>
      </c>
    </row>
    <row r="45" spans="1:11" ht="13.5" thickBot="1">
      <c r="A45" s="74">
        <f t="shared" si="0"/>
        <v>41</v>
      </c>
      <c r="B45" s="80" t="s">
        <v>280</v>
      </c>
      <c r="F45" s="423">
        <f>ROUND(F11+SUM(F17:F43),2)</f>
        <v>1974733142.5</v>
      </c>
      <c r="J45" s="423">
        <f>ROUND(J11+SUM(J17:J43),2)</f>
        <v>146153873.49</v>
      </c>
      <c r="K45" s="103">
        <f>ROUND(+J45/F45,4)</f>
        <v>0.074</v>
      </c>
    </row>
    <row r="46" ht="13.5" thickTop="1">
      <c r="A46" s="74">
        <f t="shared" si="0"/>
        <v>42</v>
      </c>
    </row>
    <row r="47" ht="12.75">
      <c r="A47" s="74">
        <f t="shared" si="0"/>
        <v>43</v>
      </c>
    </row>
    <row r="48" spans="1:10" s="66" customFormat="1" ht="12.75">
      <c r="A48" s="74">
        <f t="shared" si="0"/>
        <v>44</v>
      </c>
      <c r="B48" s="67" t="s">
        <v>188</v>
      </c>
      <c r="G48" s="84"/>
      <c r="J48" s="84"/>
    </row>
    <row r="49" spans="1:10" s="66" customFormat="1" ht="12.75">
      <c r="A49" s="74">
        <f t="shared" si="0"/>
        <v>45</v>
      </c>
      <c r="B49" s="67" t="s">
        <v>214</v>
      </c>
      <c r="G49" s="84"/>
      <c r="J49" s="84"/>
    </row>
    <row r="50" spans="1:10" s="66" customFormat="1" ht="12.75">
      <c r="A50" s="74">
        <f t="shared" si="0"/>
        <v>46</v>
      </c>
      <c r="G50" s="84"/>
      <c r="J50" s="84"/>
    </row>
    <row r="51" spans="1:10" s="66" customFormat="1" ht="12.75">
      <c r="A51" s="74">
        <f t="shared" si="0"/>
        <v>47</v>
      </c>
      <c r="B51" s="67" t="s">
        <v>215</v>
      </c>
      <c r="G51" s="84"/>
      <c r="J51" s="84"/>
    </row>
    <row r="52" spans="1:10" s="66" customFormat="1" ht="12.75">
      <c r="A52" s="74">
        <f t="shared" si="0"/>
        <v>48</v>
      </c>
      <c r="G52" s="84"/>
      <c r="J52" s="84"/>
    </row>
    <row r="53" spans="1:10" s="66" customFormat="1" ht="12.75">
      <c r="A53" s="74">
        <f t="shared" si="0"/>
        <v>49</v>
      </c>
      <c r="B53" s="85" t="s">
        <v>281</v>
      </c>
      <c r="G53" s="84"/>
      <c r="I53" s="103"/>
      <c r="J53" s="84"/>
    </row>
    <row r="54" spans="1:10" s="66" customFormat="1" ht="12.75">
      <c r="A54" s="74">
        <f t="shared" si="0"/>
        <v>50</v>
      </c>
      <c r="G54" s="84"/>
      <c r="I54" s="103"/>
      <c r="J54" s="84"/>
    </row>
    <row r="55" spans="1:10" s="66" customFormat="1" ht="12.75">
      <c r="A55" s="74">
        <f t="shared" si="0"/>
        <v>51</v>
      </c>
      <c r="B55" s="67" t="s">
        <v>282</v>
      </c>
      <c r="G55" s="84"/>
      <c r="I55" s="103"/>
      <c r="J55" s="84"/>
    </row>
    <row r="56" spans="1:10" s="66" customFormat="1" ht="12.75">
      <c r="A56" s="74"/>
      <c r="G56" s="84"/>
      <c r="I56" s="103"/>
      <c r="J56" s="84"/>
    </row>
    <row r="57" spans="1:10" s="66" customFormat="1" ht="12.75">
      <c r="A57" s="74"/>
      <c r="B57" s="67"/>
      <c r="G57" s="84"/>
      <c r="I57" s="103"/>
      <c r="J57" s="84"/>
    </row>
    <row r="58" ht="12.75">
      <c r="A58" s="74"/>
    </row>
    <row r="59" ht="12.75">
      <c r="A59" s="74"/>
    </row>
    <row r="60" ht="12.75">
      <c r="A60" s="74"/>
    </row>
  </sheetData>
  <mergeCells count="4">
    <mergeCell ref="A1:J1"/>
    <mergeCell ref="A2:J2"/>
    <mergeCell ref="A3:J3"/>
    <mergeCell ref="A4:J4"/>
  </mergeCells>
  <printOptions horizontalCentered="1"/>
  <pageMargins left="0.25" right="0.25" top="1" bottom="1" header="0.5" footer="0.5"/>
  <pageSetup fitToHeight="1" fitToWidth="1" horizontalDpi="600" verticalDpi="600" orientation="portrait" scale="92" r:id="rId1"/>
  <headerFooter alignWithMargins="0">
    <oddHeader>&amp;R&amp;"Times New Roman,Regular"Page 5</oddHeader>
    <oddFooter>&amp;L&amp;"Times New Roman,Regular"&amp;10&amp;F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D14" sqref="D14"/>
    </sheetView>
  </sheetViews>
  <sheetFormatPr defaultColWidth="8.796875" defaultRowHeight="15"/>
  <cols>
    <col min="1" max="1" width="5" style="338" customWidth="1"/>
    <col min="2" max="2" width="2.8984375" style="338" customWidth="1"/>
    <col min="3" max="3" width="10.5" style="339" customWidth="1"/>
    <col min="4" max="4" width="16.8984375" style="340" customWidth="1"/>
    <col min="5" max="5" width="16" style="340" customWidth="1"/>
    <col min="6" max="6" width="12.3984375" style="338" customWidth="1"/>
    <col min="7" max="7" width="13" style="338" hidden="1" customWidth="1"/>
    <col min="8" max="16384" width="9.3984375" style="338" customWidth="1"/>
  </cols>
  <sheetData>
    <row r="1" spans="1:9" ht="13.5">
      <c r="A1" s="524" t="s">
        <v>85</v>
      </c>
      <c r="B1" s="524"/>
      <c r="C1" s="524"/>
      <c r="D1" s="524"/>
      <c r="E1" s="524"/>
      <c r="F1" s="524"/>
      <c r="G1" s="524"/>
      <c r="H1" s="524"/>
      <c r="I1" s="524"/>
    </row>
    <row r="2" ht="12.75">
      <c r="E2" s="341" t="s">
        <v>208</v>
      </c>
    </row>
    <row r="3" spans="1:9" s="468" customFormat="1" ht="12.75">
      <c r="A3" s="523" t="str">
        <f>'Cost of Cap. (page 1)'!A7</f>
        <v>Cause No. ____________</v>
      </c>
      <c r="B3" s="523"/>
      <c r="C3" s="523"/>
      <c r="D3" s="523"/>
      <c r="E3" s="523"/>
      <c r="F3" s="523"/>
      <c r="G3" s="523"/>
      <c r="H3" s="523"/>
      <c r="I3" s="523"/>
    </row>
    <row r="4" ht="12.75">
      <c r="A4" s="342">
        <v>1</v>
      </c>
    </row>
    <row r="5" spans="1:7" ht="12.75">
      <c r="A5" s="342">
        <v>2</v>
      </c>
      <c r="B5" s="343"/>
      <c r="C5" s="344"/>
      <c r="D5" s="345"/>
      <c r="E5" s="346"/>
      <c r="F5" s="347"/>
      <c r="G5" s="348"/>
    </row>
    <row r="6" spans="1:7" ht="12.75">
      <c r="A6" s="342">
        <v>3</v>
      </c>
      <c r="B6" s="349"/>
      <c r="C6" s="350" t="s">
        <v>76</v>
      </c>
      <c r="D6" s="350"/>
      <c r="E6" s="351">
        <v>202494850</v>
      </c>
      <c r="F6" s="352" t="s">
        <v>38</v>
      </c>
      <c r="G6" s="353"/>
    </row>
    <row r="7" spans="1:7" ht="12.75">
      <c r="A7" s="342">
        <v>4</v>
      </c>
      <c r="B7" s="349"/>
      <c r="C7" s="350" t="s">
        <v>77</v>
      </c>
      <c r="D7" s="354"/>
      <c r="E7" s="355">
        <v>-3329967</v>
      </c>
      <c r="F7" s="352" t="s">
        <v>79</v>
      </c>
      <c r="G7" s="353"/>
    </row>
    <row r="8" spans="1:7" ht="12.75">
      <c r="A8" s="342">
        <v>5</v>
      </c>
      <c r="B8" s="349"/>
      <c r="C8" s="350" t="s">
        <v>175</v>
      </c>
      <c r="D8" s="354"/>
      <c r="E8" s="351">
        <f>E6+E7</f>
        <v>199164883</v>
      </c>
      <c r="F8" s="356">
        <v>100</v>
      </c>
      <c r="G8" s="357"/>
    </row>
    <row r="9" spans="1:6" ht="12.75">
      <c r="A9" s="342">
        <v>6</v>
      </c>
      <c r="B9" s="349"/>
      <c r="C9" s="350" t="s">
        <v>78</v>
      </c>
      <c r="D9" s="354"/>
      <c r="E9" s="358">
        <v>0.0645</v>
      </c>
      <c r="F9" s="359">
        <f>((202250000+E7)/202250000)*100</f>
        <v>98.35353918417799</v>
      </c>
    </row>
    <row r="10" spans="1:6" ht="16.5" customHeight="1">
      <c r="A10" s="342">
        <v>7</v>
      </c>
      <c r="B10" s="360"/>
      <c r="C10" s="361"/>
      <c r="D10" s="362"/>
      <c r="E10" s="363"/>
      <c r="F10" s="364"/>
    </row>
    <row r="11" spans="1:5" ht="12.75">
      <c r="A11" s="342">
        <v>8</v>
      </c>
      <c r="B11" s="350"/>
      <c r="C11" s="350"/>
      <c r="D11" s="354"/>
      <c r="E11" s="365"/>
    </row>
    <row r="12" spans="1:5" ht="12.75">
      <c r="A12" s="342">
        <f aca="true" t="shared" si="0" ref="A12:A53">A11+1</f>
        <v>9</v>
      </c>
      <c r="B12" s="350"/>
      <c r="C12" s="350"/>
      <c r="D12" s="366" t="s">
        <v>80</v>
      </c>
      <c r="E12" s="367">
        <f>ROUND(IRR(D16:D54,10%)*4,4)</f>
        <v>0.0713</v>
      </c>
    </row>
    <row r="13" spans="1:7" ht="12.75">
      <c r="A13" s="342">
        <f t="shared" si="0"/>
        <v>10</v>
      </c>
      <c r="E13" s="368"/>
      <c r="F13" s="368"/>
      <c r="G13" s="368"/>
    </row>
    <row r="14" spans="1:7" ht="12.75">
      <c r="A14" s="342">
        <f t="shared" si="0"/>
        <v>11</v>
      </c>
      <c r="B14" s="353" t="s">
        <v>81</v>
      </c>
      <c r="C14" s="427" t="s">
        <v>82</v>
      </c>
      <c r="D14" s="428" t="s">
        <v>284</v>
      </c>
      <c r="E14" s="368"/>
      <c r="F14" s="368"/>
      <c r="G14" s="368"/>
    </row>
    <row r="15" spans="1:7" ht="12.75">
      <c r="A15" s="342">
        <f t="shared" si="0"/>
        <v>12</v>
      </c>
      <c r="B15" s="370"/>
      <c r="C15" s="369"/>
      <c r="D15" s="368"/>
      <c r="E15" s="368"/>
      <c r="F15" s="368"/>
      <c r="G15" s="368"/>
    </row>
    <row r="16" spans="1:7" ht="12.75">
      <c r="A16" s="342">
        <f t="shared" si="0"/>
        <v>13</v>
      </c>
      <c r="B16" s="338">
        <v>0</v>
      </c>
      <c r="C16" s="339">
        <v>34858</v>
      </c>
      <c r="D16" s="340">
        <f>E8</f>
        <v>199164883</v>
      </c>
      <c r="F16" s="371"/>
      <c r="G16" s="372"/>
    </row>
    <row r="17" spans="1:7" ht="12.75">
      <c r="A17" s="342">
        <f t="shared" si="0"/>
        <v>14</v>
      </c>
      <c r="B17" s="338">
        <v>1</v>
      </c>
      <c r="C17" s="339">
        <v>34972</v>
      </c>
      <c r="D17" s="340">
        <f aca="true" t="shared" si="1" ref="D17:D54">G17*-1</f>
        <v>-13770043.619999997</v>
      </c>
      <c r="E17" s="338"/>
      <c r="F17" s="372"/>
      <c r="G17" s="340">
        <v>13770043.619999997</v>
      </c>
    </row>
    <row r="18" spans="1:7" ht="12.75">
      <c r="A18" s="342">
        <f t="shared" si="0"/>
        <v>15</v>
      </c>
      <c r="B18" s="338">
        <f aca="true" t="shared" si="2" ref="B18:B53">1+B17</f>
        <v>2</v>
      </c>
      <c r="C18" s="339">
        <v>35064</v>
      </c>
      <c r="D18" s="340">
        <f t="shared" si="1"/>
        <v>-11330993.790000001</v>
      </c>
      <c r="E18" s="338"/>
      <c r="F18" s="372"/>
      <c r="G18" s="340">
        <v>11330993.790000001</v>
      </c>
    </row>
    <row r="19" spans="1:7" ht="12.75">
      <c r="A19" s="342">
        <f t="shared" si="0"/>
        <v>16</v>
      </c>
      <c r="B19" s="338">
        <f t="shared" si="2"/>
        <v>3</v>
      </c>
      <c r="C19" s="339">
        <v>35155</v>
      </c>
      <c r="D19" s="340">
        <f t="shared" si="1"/>
        <v>-10162958.280000001</v>
      </c>
      <c r="E19" s="338"/>
      <c r="F19" s="372"/>
      <c r="G19" s="340">
        <v>10162958.280000001</v>
      </c>
    </row>
    <row r="20" spans="1:7" ht="12.75">
      <c r="A20" s="342">
        <f t="shared" si="0"/>
        <v>17</v>
      </c>
      <c r="B20" s="338">
        <f t="shared" si="2"/>
        <v>4</v>
      </c>
      <c r="C20" s="339">
        <f>C19+91</f>
        <v>35246</v>
      </c>
      <c r="D20" s="340">
        <f t="shared" si="1"/>
        <v>-10355206.54</v>
      </c>
      <c r="E20" s="338"/>
      <c r="F20" s="372"/>
      <c r="G20" s="340">
        <v>10355206.54</v>
      </c>
    </row>
    <row r="21" spans="1:7" ht="12.75">
      <c r="A21" s="342">
        <f t="shared" si="0"/>
        <v>18</v>
      </c>
      <c r="B21" s="338">
        <f t="shared" si="2"/>
        <v>5</v>
      </c>
      <c r="C21" s="339">
        <f>C20+92</f>
        <v>35338</v>
      </c>
      <c r="D21" s="340">
        <f t="shared" si="1"/>
        <v>-10947363.9</v>
      </c>
      <c r="E21" s="338"/>
      <c r="F21" s="372"/>
      <c r="G21" s="340">
        <v>10947363.9</v>
      </c>
    </row>
    <row r="22" spans="1:7" ht="12.75">
      <c r="A22" s="342">
        <f t="shared" si="0"/>
        <v>19</v>
      </c>
      <c r="B22" s="338">
        <f t="shared" si="2"/>
        <v>6</v>
      </c>
      <c r="C22" s="339">
        <f>C21+92</f>
        <v>35430</v>
      </c>
      <c r="D22" s="340">
        <f t="shared" si="1"/>
        <v>-9562349.41</v>
      </c>
      <c r="E22" s="338"/>
      <c r="F22" s="372"/>
      <c r="G22" s="340">
        <v>9562349.41</v>
      </c>
    </row>
    <row r="23" spans="1:7" ht="12.75">
      <c r="A23" s="342">
        <f t="shared" si="0"/>
        <v>20</v>
      </c>
      <c r="B23" s="338">
        <f t="shared" si="2"/>
        <v>7</v>
      </c>
      <c r="C23" s="339">
        <f>C22+90</f>
        <v>35520</v>
      </c>
      <c r="D23" s="340">
        <f t="shared" si="1"/>
        <v>-9053162.1</v>
      </c>
      <c r="E23" s="338"/>
      <c r="F23" s="372"/>
      <c r="G23" s="340">
        <v>9053162.1</v>
      </c>
    </row>
    <row r="24" spans="1:7" ht="12.75">
      <c r="A24" s="342">
        <f t="shared" si="0"/>
        <v>21</v>
      </c>
      <c r="B24" s="338">
        <f t="shared" si="2"/>
        <v>8</v>
      </c>
      <c r="C24" s="339">
        <f>C23+91</f>
        <v>35611</v>
      </c>
      <c r="D24" s="340">
        <f t="shared" si="1"/>
        <v>-9015622.54</v>
      </c>
      <c r="E24" s="338"/>
      <c r="F24" s="372"/>
      <c r="G24" s="340">
        <v>9015622.54</v>
      </c>
    </row>
    <row r="25" spans="1:7" ht="12.75">
      <c r="A25" s="342">
        <f t="shared" si="0"/>
        <v>22</v>
      </c>
      <c r="B25" s="338">
        <f t="shared" si="2"/>
        <v>9</v>
      </c>
      <c r="C25" s="339">
        <f>C24+92</f>
        <v>35703</v>
      </c>
      <c r="D25" s="340">
        <f t="shared" si="1"/>
        <v>-9763922.81</v>
      </c>
      <c r="E25" s="338"/>
      <c r="F25" s="372"/>
      <c r="G25" s="340">
        <v>9763922.81</v>
      </c>
    </row>
    <row r="26" spans="1:7" ht="12.75">
      <c r="A26" s="342">
        <f t="shared" si="0"/>
        <v>23</v>
      </c>
      <c r="B26" s="338">
        <f t="shared" si="2"/>
        <v>10</v>
      </c>
      <c r="C26" s="339">
        <f>C25+92</f>
        <v>35795</v>
      </c>
      <c r="D26" s="340">
        <f t="shared" si="1"/>
        <v>-8974064.76</v>
      </c>
      <c r="E26" s="338"/>
      <c r="F26" s="372"/>
      <c r="G26" s="340">
        <v>8974064.76</v>
      </c>
    </row>
    <row r="27" spans="1:7" ht="12.75">
      <c r="A27" s="342">
        <f t="shared" si="0"/>
        <v>24</v>
      </c>
      <c r="B27" s="338">
        <f t="shared" si="2"/>
        <v>11</v>
      </c>
      <c r="C27" s="339">
        <f>C26+90</f>
        <v>35885</v>
      </c>
      <c r="D27" s="340">
        <f t="shared" si="1"/>
        <v>-8752204.600000001</v>
      </c>
      <c r="E27" s="338"/>
      <c r="F27" s="372"/>
      <c r="G27" s="340">
        <v>8752204.600000001</v>
      </c>
    </row>
    <row r="28" spans="1:7" ht="12.75">
      <c r="A28" s="342">
        <f t="shared" si="0"/>
        <v>25</v>
      </c>
      <c r="B28" s="338">
        <f t="shared" si="2"/>
        <v>12</v>
      </c>
      <c r="C28" s="339">
        <f>C27+91</f>
        <v>35976</v>
      </c>
      <c r="D28" s="340">
        <f t="shared" si="1"/>
        <v>-8705633.39</v>
      </c>
      <c r="E28" s="338"/>
      <c r="F28" s="372"/>
      <c r="G28" s="340">
        <v>8705633.39</v>
      </c>
    </row>
    <row r="29" spans="1:7" ht="12.75">
      <c r="A29" s="342">
        <f t="shared" si="0"/>
        <v>26</v>
      </c>
      <c r="B29" s="338">
        <f t="shared" si="2"/>
        <v>13</v>
      </c>
      <c r="C29" s="339">
        <f>C28+92</f>
        <v>36068</v>
      </c>
      <c r="D29" s="340">
        <f t="shared" si="1"/>
        <v>-8985348.67</v>
      </c>
      <c r="E29" s="338"/>
      <c r="F29" s="372"/>
      <c r="G29" s="340">
        <v>8985348.67</v>
      </c>
    </row>
    <row r="30" spans="1:7" ht="12.75">
      <c r="A30" s="342">
        <f t="shared" si="0"/>
        <v>27</v>
      </c>
      <c r="B30" s="338">
        <f t="shared" si="2"/>
        <v>14</v>
      </c>
      <c r="C30" s="339">
        <f>C29+92</f>
        <v>36160</v>
      </c>
      <c r="D30" s="340">
        <f t="shared" si="1"/>
        <v>-8949687.25</v>
      </c>
      <c r="E30" s="338"/>
      <c r="F30" s="372"/>
      <c r="G30" s="340">
        <v>8949687.25</v>
      </c>
    </row>
    <row r="31" spans="1:7" ht="12.75">
      <c r="A31" s="342">
        <f t="shared" si="0"/>
        <v>28</v>
      </c>
      <c r="B31" s="338">
        <f t="shared" si="2"/>
        <v>15</v>
      </c>
      <c r="C31" s="339">
        <f>C30+90</f>
        <v>36250</v>
      </c>
      <c r="D31" s="340">
        <f t="shared" si="1"/>
        <v>-8153802.359999999</v>
      </c>
      <c r="E31" s="338"/>
      <c r="F31" s="372"/>
      <c r="G31" s="340">
        <v>8153802.359999999</v>
      </c>
    </row>
    <row r="32" spans="1:7" ht="12.75">
      <c r="A32" s="342">
        <f t="shared" si="0"/>
        <v>29</v>
      </c>
      <c r="B32" s="338">
        <f t="shared" si="2"/>
        <v>16</v>
      </c>
      <c r="C32" s="339">
        <f>C31+91</f>
        <v>36341</v>
      </c>
      <c r="D32" s="340">
        <f t="shared" si="1"/>
        <v>-8447677.95</v>
      </c>
      <c r="E32" s="338"/>
      <c r="F32" s="372"/>
      <c r="G32" s="340">
        <v>8447677.95</v>
      </c>
    </row>
    <row r="33" spans="1:7" ht="12.75">
      <c r="A33" s="342">
        <f t="shared" si="0"/>
        <v>30</v>
      </c>
      <c r="B33" s="338">
        <f t="shared" si="2"/>
        <v>17</v>
      </c>
      <c r="C33" s="339">
        <f>C32+92</f>
        <v>36433</v>
      </c>
      <c r="D33" s="340">
        <f t="shared" si="1"/>
        <v>-8401345</v>
      </c>
      <c r="E33" s="338"/>
      <c r="F33" s="372"/>
      <c r="G33" s="340">
        <v>8401345</v>
      </c>
    </row>
    <row r="34" spans="1:7" ht="12.75">
      <c r="A34" s="342">
        <f t="shared" si="0"/>
        <v>31</v>
      </c>
      <c r="B34" s="338">
        <f t="shared" si="2"/>
        <v>18</v>
      </c>
      <c r="C34" s="339">
        <f>C33+92</f>
        <v>36525</v>
      </c>
      <c r="D34" s="340">
        <f t="shared" si="1"/>
        <v>-7328840.07</v>
      </c>
      <c r="E34" s="338"/>
      <c r="F34" s="372"/>
      <c r="G34" s="340">
        <v>7328840.07</v>
      </c>
    </row>
    <row r="35" spans="1:7" ht="12.75">
      <c r="A35" s="342">
        <f t="shared" si="0"/>
        <v>32</v>
      </c>
      <c r="B35" s="338">
        <f t="shared" si="2"/>
        <v>19</v>
      </c>
      <c r="C35" s="339">
        <f>C34+91</f>
        <v>36616</v>
      </c>
      <c r="D35" s="340">
        <f t="shared" si="1"/>
        <v>-7075671.83</v>
      </c>
      <c r="E35" s="338"/>
      <c r="F35" s="372"/>
      <c r="G35" s="340">
        <v>7075671.83</v>
      </c>
    </row>
    <row r="36" spans="1:7" ht="12.75">
      <c r="A36" s="342">
        <f t="shared" si="0"/>
        <v>33</v>
      </c>
      <c r="B36" s="338">
        <f t="shared" si="2"/>
        <v>20</v>
      </c>
      <c r="C36" s="339">
        <f>C35+91</f>
        <v>36707</v>
      </c>
      <c r="D36" s="340">
        <f t="shared" si="1"/>
        <v>-6620220.3</v>
      </c>
      <c r="E36" s="338"/>
      <c r="F36" s="372"/>
      <c r="G36" s="340">
        <v>6620220.3</v>
      </c>
    </row>
    <row r="37" spans="1:7" ht="12.75">
      <c r="A37" s="342">
        <f t="shared" si="0"/>
        <v>34</v>
      </c>
      <c r="B37" s="338">
        <f t="shared" si="2"/>
        <v>21</v>
      </c>
      <c r="C37" s="339">
        <f>C36+92</f>
        <v>36799</v>
      </c>
      <c r="D37" s="340">
        <f t="shared" si="1"/>
        <v>-7220933.01</v>
      </c>
      <c r="E37" s="338"/>
      <c r="F37" s="372"/>
      <c r="G37" s="340">
        <v>7220933.01</v>
      </c>
    </row>
    <row r="38" spans="1:7" ht="12.75">
      <c r="A38" s="342">
        <f t="shared" si="0"/>
        <v>35</v>
      </c>
      <c r="B38" s="338">
        <f t="shared" si="2"/>
        <v>22</v>
      </c>
      <c r="C38" s="339">
        <f>C37+92</f>
        <v>36891</v>
      </c>
      <c r="D38" s="340">
        <f t="shared" si="1"/>
        <v>-6655979.550000001</v>
      </c>
      <c r="E38" s="338"/>
      <c r="F38" s="372"/>
      <c r="G38" s="340">
        <v>6655979.550000001</v>
      </c>
    </row>
    <row r="39" spans="1:7" ht="12.75">
      <c r="A39" s="342">
        <f t="shared" si="0"/>
        <v>36</v>
      </c>
      <c r="B39" s="338">
        <f t="shared" si="2"/>
        <v>23</v>
      </c>
      <c r="C39" s="339">
        <f>C38+90</f>
        <v>36981</v>
      </c>
      <c r="D39" s="340">
        <f t="shared" si="1"/>
        <v>-7054996.109999999</v>
      </c>
      <c r="E39" s="338"/>
      <c r="F39" s="372"/>
      <c r="G39" s="340">
        <v>7054996.109999999</v>
      </c>
    </row>
    <row r="40" spans="1:7" ht="12.75">
      <c r="A40" s="342">
        <f t="shared" si="0"/>
        <v>37</v>
      </c>
      <c r="B40" s="338">
        <f t="shared" si="2"/>
        <v>24</v>
      </c>
      <c r="C40" s="339">
        <f>C39+91</f>
        <v>37072</v>
      </c>
      <c r="D40" s="340">
        <f t="shared" si="1"/>
        <v>-6535870.79</v>
      </c>
      <c r="E40" s="338"/>
      <c r="F40" s="372"/>
      <c r="G40" s="340">
        <v>6535870.79</v>
      </c>
    </row>
    <row r="41" spans="1:7" ht="12.75">
      <c r="A41" s="342">
        <f t="shared" si="0"/>
        <v>38</v>
      </c>
      <c r="B41" s="338">
        <f t="shared" si="2"/>
        <v>25</v>
      </c>
      <c r="C41" s="339">
        <f>C40+92</f>
        <v>37164</v>
      </c>
      <c r="D41" s="340">
        <f t="shared" si="1"/>
        <v>-6763243.129999999</v>
      </c>
      <c r="E41" s="338"/>
      <c r="F41" s="372"/>
      <c r="G41" s="340">
        <v>6763243.129999999</v>
      </c>
    </row>
    <row r="42" spans="1:7" ht="12.75">
      <c r="A42" s="342">
        <f t="shared" si="0"/>
        <v>39</v>
      </c>
      <c r="B42" s="338">
        <f t="shared" si="2"/>
        <v>26</v>
      </c>
      <c r="C42" s="339">
        <f>C41+92</f>
        <v>37256</v>
      </c>
      <c r="D42" s="340">
        <f t="shared" si="1"/>
        <v>-5268012</v>
      </c>
      <c r="E42" s="338"/>
      <c r="F42" s="372"/>
      <c r="G42" s="340">
        <v>5268012</v>
      </c>
    </row>
    <row r="43" spans="1:7" ht="12.75">
      <c r="A43" s="342">
        <f t="shared" si="0"/>
        <v>40</v>
      </c>
      <c r="B43" s="338">
        <f t="shared" si="2"/>
        <v>27</v>
      </c>
      <c r="C43" s="339">
        <f>C42+90</f>
        <v>37346</v>
      </c>
      <c r="D43" s="340">
        <f t="shared" si="1"/>
        <v>-3327194</v>
      </c>
      <c r="E43" s="338"/>
      <c r="F43" s="372"/>
      <c r="G43" s="340">
        <v>3327194</v>
      </c>
    </row>
    <row r="44" spans="1:7" ht="12.75">
      <c r="A44" s="342">
        <f t="shared" si="0"/>
        <v>41</v>
      </c>
      <c r="B44" s="338">
        <f t="shared" si="2"/>
        <v>28</v>
      </c>
      <c r="C44" s="339">
        <f>C43+91</f>
        <v>37437</v>
      </c>
      <c r="D44" s="340">
        <f t="shared" si="1"/>
        <v>-3337476</v>
      </c>
      <c r="E44" s="338"/>
      <c r="F44" s="372"/>
      <c r="G44" s="340">
        <v>3337476</v>
      </c>
    </row>
    <row r="45" spans="1:7" ht="12.75">
      <c r="A45" s="342">
        <f t="shared" si="0"/>
        <v>42</v>
      </c>
      <c r="B45" s="338">
        <f t="shared" si="2"/>
        <v>29</v>
      </c>
      <c r="C45" s="339">
        <f>C44+92</f>
        <v>37529</v>
      </c>
      <c r="D45" s="340">
        <f t="shared" si="1"/>
        <v>-3353638</v>
      </c>
      <c r="E45" s="338"/>
      <c r="F45" s="372"/>
      <c r="G45" s="340">
        <v>3353638</v>
      </c>
    </row>
    <row r="46" spans="1:7" ht="12.75">
      <c r="A46" s="342">
        <f t="shared" si="0"/>
        <v>43</v>
      </c>
      <c r="B46" s="338">
        <f t="shared" si="2"/>
        <v>30</v>
      </c>
      <c r="C46" s="339">
        <f>C45+92</f>
        <v>37621</v>
      </c>
      <c r="D46" s="340">
        <f t="shared" si="1"/>
        <v>-3192632</v>
      </c>
      <c r="E46" s="338"/>
      <c r="F46" s="372"/>
      <c r="G46" s="340">
        <v>3192632</v>
      </c>
    </row>
    <row r="47" spans="1:7" ht="12.75">
      <c r="A47" s="342">
        <f t="shared" si="0"/>
        <v>44</v>
      </c>
      <c r="B47" s="338">
        <f t="shared" si="2"/>
        <v>31</v>
      </c>
      <c r="C47" s="339">
        <f>C46+90</f>
        <v>37711</v>
      </c>
      <c r="D47" s="340">
        <f t="shared" si="1"/>
        <v>-3151938</v>
      </c>
      <c r="E47" s="338"/>
      <c r="F47" s="372"/>
      <c r="G47" s="340">
        <v>3151938</v>
      </c>
    </row>
    <row r="48" spans="1:7" ht="12.75">
      <c r="A48" s="342">
        <f t="shared" si="0"/>
        <v>45</v>
      </c>
      <c r="B48" s="338">
        <f t="shared" si="2"/>
        <v>32</v>
      </c>
      <c r="C48" s="339">
        <f>C47+91</f>
        <v>37802</v>
      </c>
      <c r="D48" s="340">
        <f t="shared" si="1"/>
        <v>-3163155</v>
      </c>
      <c r="E48" s="338"/>
      <c r="F48" s="372"/>
      <c r="G48" s="340">
        <v>3163155</v>
      </c>
    </row>
    <row r="49" spans="1:7" ht="12.75">
      <c r="A49" s="342">
        <f t="shared" si="0"/>
        <v>46</v>
      </c>
      <c r="B49" s="338">
        <f t="shared" si="2"/>
        <v>33</v>
      </c>
      <c r="C49" s="339">
        <f>C48+92</f>
        <v>37894</v>
      </c>
      <c r="D49" s="340">
        <f t="shared" si="1"/>
        <v>-3176322</v>
      </c>
      <c r="E49" s="338"/>
      <c r="F49" s="372"/>
      <c r="G49" s="340">
        <v>3176322</v>
      </c>
    </row>
    <row r="50" spans="1:7" ht="12.75">
      <c r="A50" s="342">
        <f t="shared" si="0"/>
        <v>47</v>
      </c>
      <c r="B50" s="338">
        <f t="shared" si="2"/>
        <v>34</v>
      </c>
      <c r="C50" s="339">
        <f>C49+92</f>
        <v>37986</v>
      </c>
      <c r="D50" s="340">
        <f t="shared" si="1"/>
        <v>-1732910</v>
      </c>
      <c r="E50" s="338"/>
      <c r="F50" s="372"/>
      <c r="G50" s="340">
        <v>1732910</v>
      </c>
    </row>
    <row r="51" spans="1:7" ht="12.75">
      <c r="A51" s="342">
        <f t="shared" si="0"/>
        <v>48</v>
      </c>
      <c r="B51" s="338">
        <f t="shared" si="2"/>
        <v>35</v>
      </c>
      <c r="C51" s="339">
        <f>C50+91</f>
        <v>38077</v>
      </c>
      <c r="D51" s="340">
        <f t="shared" si="1"/>
        <v>-1270359</v>
      </c>
      <c r="E51" s="338"/>
      <c r="F51" s="372"/>
      <c r="G51" s="340">
        <v>1270359</v>
      </c>
    </row>
    <row r="52" spans="1:7" ht="12.75">
      <c r="A52" s="342">
        <f t="shared" si="0"/>
        <v>49</v>
      </c>
      <c r="B52" s="338">
        <f t="shared" si="2"/>
        <v>36</v>
      </c>
      <c r="C52" s="339">
        <f>C51+91</f>
        <v>38168</v>
      </c>
      <c r="D52" s="340">
        <f t="shared" si="1"/>
        <v>-1429242</v>
      </c>
      <c r="E52" s="338"/>
      <c r="F52" s="372"/>
      <c r="G52" s="340">
        <v>1429242</v>
      </c>
    </row>
    <row r="53" spans="1:7" ht="12.75">
      <c r="A53" s="342">
        <f t="shared" si="0"/>
        <v>50</v>
      </c>
      <c r="B53" s="338">
        <f t="shared" si="2"/>
        <v>37</v>
      </c>
      <c r="C53" s="339">
        <f>C52+92</f>
        <v>38260</v>
      </c>
      <c r="D53" s="340">
        <f t="shared" si="1"/>
        <v>-1486395</v>
      </c>
      <c r="E53" s="338"/>
      <c r="F53" s="372"/>
      <c r="G53" s="340">
        <v>1486395</v>
      </c>
    </row>
    <row r="54" spans="1:7" ht="12.75">
      <c r="A54" s="342">
        <v>51</v>
      </c>
      <c r="B54" s="338">
        <v>38</v>
      </c>
      <c r="C54" s="339">
        <v>38352</v>
      </c>
      <c r="D54" s="340">
        <f t="shared" si="1"/>
        <v>-361676</v>
      </c>
      <c r="E54" s="338"/>
      <c r="F54" s="340"/>
      <c r="G54" s="340">
        <v>361676</v>
      </c>
    </row>
  </sheetData>
  <mergeCells count="2">
    <mergeCell ref="A3:I3"/>
    <mergeCell ref="A1:I1"/>
  </mergeCells>
  <printOptions/>
  <pageMargins left="0.33" right="0.41" top="0.71" bottom="0.5" header="0.5" footer="0.5"/>
  <pageSetup fitToHeight="1" fitToWidth="1" horizontalDpi="600" verticalDpi="600" orientation="portrait" r:id="rId1"/>
  <headerFooter alignWithMargins="0">
    <oddHeader>&amp;R&amp;"Times New Roman,Regular"Page  6</oddHeader>
    <oddFooter>&amp;L&amp;"Times New Roman,Regular"&amp;10&amp;F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D17" sqref="D17"/>
    </sheetView>
  </sheetViews>
  <sheetFormatPr defaultColWidth="8.796875" defaultRowHeight="15"/>
  <cols>
    <col min="1" max="1" width="5" style="374" customWidth="1"/>
    <col min="2" max="2" width="2.8984375" style="374" customWidth="1"/>
    <col min="3" max="3" width="10.5" style="375" customWidth="1"/>
    <col min="4" max="4" width="16.8984375" style="376" customWidth="1"/>
    <col min="5" max="5" width="16" style="376" customWidth="1"/>
    <col min="6" max="6" width="12.3984375" style="374" customWidth="1"/>
    <col min="7" max="7" width="12.59765625" style="374" hidden="1" customWidth="1"/>
    <col min="8" max="8" width="13" style="374" customWidth="1"/>
    <col min="9" max="9" width="12.09765625" style="374" customWidth="1"/>
    <col min="10" max="16384" width="9.3984375" style="374" customWidth="1"/>
  </cols>
  <sheetData>
    <row r="1" ht="13.5">
      <c r="E1" s="377" t="s">
        <v>0</v>
      </c>
    </row>
    <row r="2" ht="12.75">
      <c r="E2" s="378" t="s">
        <v>209</v>
      </c>
    </row>
    <row r="3" spans="1:8" s="469" customFormat="1" ht="12.75">
      <c r="A3" s="525" t="str">
        <f>'Cost of Cap. (page 1)'!A7</f>
        <v>Cause No. ____________</v>
      </c>
      <c r="B3" s="525"/>
      <c r="C3" s="525"/>
      <c r="D3" s="525"/>
      <c r="E3" s="525"/>
      <c r="F3" s="525"/>
      <c r="G3" s="525"/>
      <c r="H3" s="525"/>
    </row>
    <row r="4" ht="12.75">
      <c r="A4" s="379">
        <v>1</v>
      </c>
    </row>
    <row r="5" spans="1:7" ht="12.75">
      <c r="A5" s="379">
        <v>2</v>
      </c>
      <c r="B5" s="380" t="s">
        <v>83</v>
      </c>
      <c r="C5" s="381"/>
      <c r="D5" s="382"/>
      <c r="E5" s="383"/>
      <c r="F5" s="384"/>
      <c r="G5" s="385"/>
    </row>
    <row r="6" spans="1:7" ht="12.75">
      <c r="A6" s="379">
        <v>3</v>
      </c>
      <c r="B6" s="386"/>
      <c r="C6" s="387" t="s">
        <v>76</v>
      </c>
      <c r="D6" s="387"/>
      <c r="E6" s="388">
        <v>35319153</v>
      </c>
      <c r="F6" s="389" t="s">
        <v>72</v>
      </c>
      <c r="G6" s="390"/>
    </row>
    <row r="7" spans="1:7" ht="12.75">
      <c r="A7" s="379">
        <f aca="true" t="shared" si="0" ref="A7:A36">A6+1</f>
        <v>4</v>
      </c>
      <c r="B7" s="386"/>
      <c r="C7" s="387" t="s">
        <v>77</v>
      </c>
      <c r="D7" s="391"/>
      <c r="E7" s="392">
        <v>-699479.19</v>
      </c>
      <c r="F7" s="389" t="s">
        <v>79</v>
      </c>
      <c r="G7" s="390"/>
    </row>
    <row r="8" spans="1:7" ht="12.75">
      <c r="A8" s="379">
        <f t="shared" si="0"/>
        <v>5</v>
      </c>
      <c r="B8" s="386"/>
      <c r="C8" s="387" t="s">
        <v>175</v>
      </c>
      <c r="D8" s="391"/>
      <c r="E8" s="388">
        <f>E6+E7</f>
        <v>34619673.81</v>
      </c>
      <c r="F8" s="393">
        <v>100</v>
      </c>
      <c r="G8" s="394"/>
    </row>
    <row r="9" spans="1:9" ht="12.75">
      <c r="A9" s="379">
        <f t="shared" si="0"/>
        <v>6</v>
      </c>
      <c r="B9" s="386"/>
      <c r="C9" s="387" t="s">
        <v>78</v>
      </c>
      <c r="D9" s="391"/>
      <c r="E9" s="395">
        <v>0.0623</v>
      </c>
      <c r="F9" s="396">
        <f>((35220000+E7)/35220000)*100</f>
        <v>98.01397163543442</v>
      </c>
      <c r="I9" s="374" t="s">
        <v>1</v>
      </c>
    </row>
    <row r="10" spans="1:9" ht="16.5" customHeight="1">
      <c r="A10" s="379">
        <f t="shared" si="0"/>
        <v>7</v>
      </c>
      <c r="B10" s="397"/>
      <c r="C10" s="398"/>
      <c r="D10" s="399"/>
      <c r="E10" s="400"/>
      <c r="F10" s="401"/>
      <c r="I10" s="374" t="s">
        <v>1</v>
      </c>
    </row>
    <row r="11" spans="1:6" ht="12.75">
      <c r="A11" s="379">
        <f t="shared" si="0"/>
        <v>8</v>
      </c>
      <c r="B11" s="387"/>
      <c r="C11" s="387"/>
      <c r="D11" s="391"/>
      <c r="E11" s="402"/>
      <c r="F11" s="390"/>
    </row>
    <row r="12" spans="1:6" ht="12.75">
      <c r="A12" s="379">
        <f t="shared" si="0"/>
        <v>9</v>
      </c>
      <c r="B12" s="387"/>
      <c r="C12" s="387"/>
      <c r="D12" s="403" t="s">
        <v>80</v>
      </c>
      <c r="E12" s="404">
        <f>ROUND(IRR(D19:D36,10%)*4,4)</f>
        <v>0.0788</v>
      </c>
      <c r="F12" s="405"/>
    </row>
    <row r="13" spans="1:8" ht="12.75">
      <c r="A13" s="379">
        <f t="shared" si="0"/>
        <v>10</v>
      </c>
      <c r="B13" s="387"/>
      <c r="C13" s="374"/>
      <c r="D13" s="374"/>
      <c r="E13" s="374"/>
      <c r="H13" s="406"/>
    </row>
    <row r="14" spans="1:8" ht="12.75">
      <c r="A14" s="379">
        <f t="shared" si="0"/>
        <v>11</v>
      </c>
      <c r="B14" s="387"/>
      <c r="C14" s="407"/>
      <c r="D14" s="374"/>
      <c r="E14" s="374"/>
      <c r="F14" s="391"/>
      <c r="H14" s="406"/>
    </row>
    <row r="15" spans="1:8" ht="12.75">
      <c r="A15" s="379">
        <f t="shared" si="0"/>
        <v>12</v>
      </c>
      <c r="D15" s="374"/>
      <c r="E15" s="374"/>
      <c r="F15" s="376"/>
      <c r="H15" s="406"/>
    </row>
    <row r="16" spans="1:8" ht="12.75">
      <c r="A16" s="379">
        <f t="shared" si="0"/>
        <v>13</v>
      </c>
      <c r="E16" s="406"/>
      <c r="F16" s="376"/>
      <c r="G16" s="406"/>
      <c r="H16" s="406"/>
    </row>
    <row r="17" spans="1:8" ht="12.75">
      <c r="A17" s="379">
        <f t="shared" si="0"/>
        <v>14</v>
      </c>
      <c r="B17" s="390" t="s">
        <v>81</v>
      </c>
      <c r="C17" s="429" t="s">
        <v>82</v>
      </c>
      <c r="D17" s="430" t="s">
        <v>284</v>
      </c>
      <c r="E17" s="406"/>
      <c r="F17" s="406"/>
      <c r="G17" s="406"/>
      <c r="H17" s="406"/>
    </row>
    <row r="18" spans="1:8" ht="12.75">
      <c r="A18" s="379">
        <f t="shared" si="0"/>
        <v>15</v>
      </c>
      <c r="B18" s="409"/>
      <c r="C18" s="408"/>
      <c r="D18" s="406"/>
      <c r="E18" s="406"/>
      <c r="F18" s="406"/>
      <c r="G18" s="406"/>
      <c r="H18" s="406"/>
    </row>
    <row r="19" spans="1:8" ht="12.75">
      <c r="A19" s="379">
        <f t="shared" si="0"/>
        <v>16</v>
      </c>
      <c r="B19" s="374">
        <v>0</v>
      </c>
      <c r="C19" s="375">
        <v>35648</v>
      </c>
      <c r="D19" s="410">
        <f>E8</f>
        <v>34619673.81</v>
      </c>
      <c r="E19" s="410"/>
      <c r="F19" s="406"/>
      <c r="G19" s="406"/>
      <c r="H19" s="411"/>
    </row>
    <row r="20" spans="1:9" ht="12.75">
      <c r="A20" s="379">
        <f t="shared" si="0"/>
        <v>17</v>
      </c>
      <c r="B20" s="374">
        <v>1</v>
      </c>
      <c r="C20" s="375">
        <v>35795</v>
      </c>
      <c r="D20" s="411">
        <f>G20*-1</f>
        <v>-3682634.86</v>
      </c>
      <c r="E20" s="411"/>
      <c r="F20" s="411"/>
      <c r="G20" s="411">
        <v>3682634.86</v>
      </c>
      <c r="H20" s="411"/>
      <c r="I20" s="411"/>
    </row>
    <row r="21" spans="1:9" ht="12.75">
      <c r="A21" s="379">
        <f t="shared" si="0"/>
        <v>18</v>
      </c>
      <c r="B21" s="374">
        <f aca="true" t="shared" si="1" ref="B21:B36">1+B20</f>
        <v>2</v>
      </c>
      <c r="C21" s="375">
        <v>35885</v>
      </c>
      <c r="D21" s="411">
        <f aca="true" t="shared" si="2" ref="D21:D35">G21*-1</f>
        <v>-2781752.07</v>
      </c>
      <c r="E21" s="412"/>
      <c r="F21" s="412"/>
      <c r="G21" s="411">
        <v>2781752.07</v>
      </c>
      <c r="H21" s="411"/>
      <c r="I21" s="411"/>
    </row>
    <row r="22" spans="1:9" ht="12.75">
      <c r="A22" s="379">
        <f t="shared" si="0"/>
        <v>19</v>
      </c>
      <c r="B22" s="374">
        <f t="shared" si="1"/>
        <v>3</v>
      </c>
      <c r="C22" s="375">
        <v>35976</v>
      </c>
      <c r="D22" s="411">
        <f t="shared" si="2"/>
        <v>-2799918.7</v>
      </c>
      <c r="E22" s="411"/>
      <c r="F22" s="411"/>
      <c r="G22" s="411">
        <v>2799918.7</v>
      </c>
      <c r="H22" s="411"/>
      <c r="I22" s="411"/>
    </row>
    <row r="23" spans="1:9" ht="12.75">
      <c r="A23" s="379">
        <f t="shared" si="0"/>
        <v>20</v>
      </c>
      <c r="B23" s="374">
        <f t="shared" si="1"/>
        <v>4</v>
      </c>
      <c r="C23" s="375">
        <v>36068</v>
      </c>
      <c r="D23" s="411">
        <f t="shared" si="2"/>
        <v>-2885539.68</v>
      </c>
      <c r="E23" s="411"/>
      <c r="F23" s="411"/>
      <c r="G23" s="411">
        <v>2885539.68</v>
      </c>
      <c r="H23" s="411"/>
      <c r="I23" s="411"/>
    </row>
    <row r="24" spans="1:9" ht="12.75">
      <c r="A24" s="379">
        <f t="shared" si="0"/>
        <v>21</v>
      </c>
      <c r="B24" s="374">
        <f t="shared" si="1"/>
        <v>5</v>
      </c>
      <c r="C24" s="375">
        <v>36160</v>
      </c>
      <c r="D24" s="411">
        <f t="shared" si="2"/>
        <v>-2883648.54</v>
      </c>
      <c r="E24" s="411"/>
      <c r="F24" s="411"/>
      <c r="G24" s="411">
        <v>2883648.54</v>
      </c>
      <c r="H24" s="411"/>
      <c r="I24" s="411"/>
    </row>
    <row r="25" spans="1:9" ht="12.75">
      <c r="A25" s="379">
        <f t="shared" si="0"/>
        <v>22</v>
      </c>
      <c r="B25" s="374">
        <f t="shared" si="1"/>
        <v>6</v>
      </c>
      <c r="C25" s="375">
        <v>36250</v>
      </c>
      <c r="D25" s="411">
        <f t="shared" si="2"/>
        <v>-2768333.31</v>
      </c>
      <c r="E25" s="411"/>
      <c r="F25" s="411"/>
      <c r="G25" s="411">
        <v>2768333.31</v>
      </c>
      <c r="H25" s="411"/>
      <c r="I25" s="411"/>
    </row>
    <row r="26" spans="1:9" ht="12.75">
      <c r="A26" s="379">
        <f t="shared" si="0"/>
        <v>23</v>
      </c>
      <c r="B26" s="374">
        <f t="shared" si="1"/>
        <v>7</v>
      </c>
      <c r="C26" s="375">
        <v>36341</v>
      </c>
      <c r="D26" s="411">
        <f t="shared" si="2"/>
        <v>-2926117.52</v>
      </c>
      <c r="E26" s="411"/>
      <c r="F26" s="411"/>
      <c r="G26" s="411">
        <v>2926117.52</v>
      </c>
      <c r="H26" s="411"/>
      <c r="I26" s="411"/>
    </row>
    <row r="27" spans="1:9" ht="12.75">
      <c r="A27" s="379">
        <f t="shared" si="0"/>
        <v>24</v>
      </c>
      <c r="B27" s="374">
        <f t="shared" si="1"/>
        <v>8</v>
      </c>
      <c r="C27" s="375">
        <v>36433</v>
      </c>
      <c r="D27" s="411">
        <f t="shared" si="2"/>
        <v>-2901628.17</v>
      </c>
      <c r="E27" s="411"/>
      <c r="F27" s="411"/>
      <c r="G27" s="411">
        <v>2901628.17</v>
      </c>
      <c r="H27" s="411"/>
      <c r="I27" s="411"/>
    </row>
    <row r="28" spans="1:9" ht="12.75">
      <c r="A28" s="379">
        <f t="shared" si="0"/>
        <v>25</v>
      </c>
      <c r="B28" s="374">
        <f t="shared" si="1"/>
        <v>9</v>
      </c>
      <c r="C28" s="375">
        <v>36525</v>
      </c>
      <c r="D28" s="411">
        <f t="shared" si="2"/>
        <v>-2899731.88</v>
      </c>
      <c r="E28" s="411"/>
      <c r="F28" s="411"/>
      <c r="G28" s="411">
        <v>2899731.88</v>
      </c>
      <c r="H28" s="411"/>
      <c r="I28" s="411"/>
    </row>
    <row r="29" spans="1:9" ht="12.75">
      <c r="A29" s="379">
        <f t="shared" si="0"/>
        <v>26</v>
      </c>
      <c r="B29" s="374">
        <f t="shared" si="1"/>
        <v>10</v>
      </c>
      <c r="C29" s="375">
        <v>36616</v>
      </c>
      <c r="D29" s="411">
        <f t="shared" si="2"/>
        <v>-2849013.14</v>
      </c>
      <c r="E29" s="411"/>
      <c r="F29" s="411"/>
      <c r="G29" s="411">
        <v>2849013.14</v>
      </c>
      <c r="H29" s="411"/>
      <c r="I29" s="411"/>
    </row>
    <row r="30" spans="1:9" ht="12.75">
      <c r="A30" s="379">
        <f t="shared" si="0"/>
        <v>27</v>
      </c>
      <c r="B30" s="374">
        <f t="shared" si="1"/>
        <v>11</v>
      </c>
      <c r="C30" s="375">
        <v>36707</v>
      </c>
      <c r="D30" s="411">
        <f t="shared" si="2"/>
        <v>-1571018.56</v>
      </c>
      <c r="E30" s="411"/>
      <c r="F30" s="411"/>
      <c r="G30" s="411">
        <v>1571018.56</v>
      </c>
      <c r="H30" s="411"/>
      <c r="I30" s="411"/>
    </row>
    <row r="31" spans="1:9" ht="12.75">
      <c r="A31" s="379">
        <f t="shared" si="0"/>
        <v>28</v>
      </c>
      <c r="B31" s="374">
        <f t="shared" si="1"/>
        <v>12</v>
      </c>
      <c r="C31" s="375">
        <v>36799</v>
      </c>
      <c r="D31" s="411">
        <f t="shared" si="2"/>
        <v>-1682751.99</v>
      </c>
      <c r="E31" s="411"/>
      <c r="F31" s="411"/>
      <c r="G31" s="411">
        <v>1682751.99</v>
      </c>
      <c r="H31" s="411"/>
      <c r="I31" s="411"/>
    </row>
    <row r="32" spans="1:9" ht="12.75">
      <c r="A32" s="379">
        <f t="shared" si="0"/>
        <v>29</v>
      </c>
      <c r="B32" s="374">
        <f t="shared" si="1"/>
        <v>13</v>
      </c>
      <c r="C32" s="375">
        <v>36891</v>
      </c>
      <c r="D32" s="411">
        <f t="shared" si="2"/>
        <v>-1750618.01</v>
      </c>
      <c r="E32" s="411"/>
      <c r="F32" s="411"/>
      <c r="G32" s="411">
        <v>1750618.01</v>
      </c>
      <c r="H32" s="411"/>
      <c r="I32" s="411"/>
    </row>
    <row r="33" spans="1:9" ht="12.75">
      <c r="A33" s="379">
        <f t="shared" si="0"/>
        <v>30</v>
      </c>
      <c r="B33" s="374">
        <f t="shared" si="1"/>
        <v>14</v>
      </c>
      <c r="C33" s="375">
        <v>36981</v>
      </c>
      <c r="D33" s="411">
        <f t="shared" si="2"/>
        <v>-2153989.84</v>
      </c>
      <c r="E33" s="411"/>
      <c r="F33" s="411"/>
      <c r="G33" s="411">
        <v>2153989.84</v>
      </c>
      <c r="H33" s="411"/>
      <c r="I33" s="411"/>
    </row>
    <row r="34" spans="1:9" ht="12.75">
      <c r="A34" s="379">
        <f t="shared" si="0"/>
        <v>31</v>
      </c>
      <c r="B34" s="374">
        <f t="shared" si="1"/>
        <v>15</v>
      </c>
      <c r="C34" s="375">
        <v>37072</v>
      </c>
      <c r="D34" s="411">
        <f t="shared" si="2"/>
        <v>-1779123.25</v>
      </c>
      <c r="E34" s="411"/>
      <c r="F34" s="411"/>
      <c r="G34" s="411">
        <v>1779123.25</v>
      </c>
      <c r="H34" s="411"/>
      <c r="I34" s="411"/>
    </row>
    <row r="35" spans="1:9" ht="12.75">
      <c r="A35" s="379">
        <f t="shared" si="0"/>
        <v>32</v>
      </c>
      <c r="B35" s="374">
        <f t="shared" si="1"/>
        <v>16</v>
      </c>
      <c r="C35" s="375">
        <v>37164</v>
      </c>
      <c r="D35" s="411">
        <f t="shared" si="2"/>
        <v>-703375.8</v>
      </c>
      <c r="E35" s="411"/>
      <c r="F35" s="411"/>
      <c r="G35" s="411">
        <v>703375.8</v>
      </c>
      <c r="H35" s="411"/>
      <c r="I35" s="411"/>
    </row>
    <row r="36" spans="1:9" ht="12.75">
      <c r="A36" s="379">
        <f t="shared" si="0"/>
        <v>33</v>
      </c>
      <c r="B36" s="374">
        <f t="shared" si="1"/>
        <v>17</v>
      </c>
      <c r="C36" s="375">
        <v>37256</v>
      </c>
      <c r="D36" s="411">
        <v>-967548.09</v>
      </c>
      <c r="E36" s="411"/>
      <c r="F36" s="411"/>
      <c r="G36" s="411">
        <v>0</v>
      </c>
      <c r="H36" s="411"/>
      <c r="I36" s="411"/>
    </row>
    <row r="37" spans="1:8" ht="12.75">
      <c r="A37" s="379"/>
      <c r="F37" s="376"/>
      <c r="G37" s="376"/>
      <c r="H37" s="376"/>
    </row>
    <row r="38" ht="12.75">
      <c r="F38" s="376"/>
    </row>
    <row r="39" spans="6:8" ht="12.75">
      <c r="F39" s="376"/>
      <c r="G39" s="410"/>
      <c r="H39" s="411"/>
    </row>
    <row r="40" ht="12.75">
      <c r="F40" s="413"/>
    </row>
    <row r="46" ht="12.75">
      <c r="E46" s="411"/>
    </row>
    <row r="49" spans="5:6" ht="12.75">
      <c r="E49" s="414"/>
      <c r="F49" s="414"/>
    </row>
    <row r="53" ht="12.75">
      <c r="E53" s="415"/>
    </row>
    <row r="55" ht="12.75">
      <c r="E55" s="415"/>
    </row>
    <row r="56" spans="5:6" ht="12.75">
      <c r="E56" s="483"/>
      <c r="F56" s="387"/>
    </row>
    <row r="57" spans="5:6" ht="12.75">
      <c r="E57" s="484"/>
      <c r="F57" s="387"/>
    </row>
    <row r="58" spans="5:6" ht="12.75">
      <c r="E58" s="387"/>
      <c r="F58" s="387"/>
    </row>
    <row r="59" spans="5:6" ht="12.75">
      <c r="E59" s="391"/>
      <c r="F59" s="485"/>
    </row>
    <row r="60" ht="12.75">
      <c r="E60" s="415"/>
    </row>
    <row r="61" ht="12.75">
      <c r="E61" s="415"/>
    </row>
  </sheetData>
  <mergeCells count="1">
    <mergeCell ref="A3:H3"/>
  </mergeCells>
  <printOptions/>
  <pageMargins left="0.33" right="0.26" top="0.71" bottom="0.5" header="0.5" footer="0.5"/>
  <pageSetup horizontalDpi="600" verticalDpi="600" orientation="portrait" r:id="rId1"/>
  <headerFooter alignWithMargins="0">
    <oddHeader>&amp;R&amp;"Times New Roman,Regular"Page 7</oddHeader>
    <oddFooter>&amp;L&amp;"Times New Roman,Regular"&amp;10&amp;F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="90" zoomScaleNormal="90" workbookViewId="0" topLeftCell="C1">
      <selection activeCell="A1" sqref="A1:J1"/>
    </sheetView>
  </sheetViews>
  <sheetFormatPr defaultColWidth="8.796875" defaultRowHeight="15"/>
  <cols>
    <col min="1" max="1" width="4" style="6" customWidth="1"/>
    <col min="2" max="2" width="12.59765625" style="6" customWidth="1"/>
    <col min="3" max="4" width="10.19921875" style="6" customWidth="1"/>
    <col min="5" max="5" width="13" style="6" customWidth="1"/>
    <col min="6" max="6" width="10.5" style="6" hidden="1" customWidth="1"/>
    <col min="7" max="7" width="11.19921875" style="6" hidden="1" customWidth="1"/>
    <col min="8" max="8" width="13.69921875" style="6" customWidth="1"/>
    <col min="9" max="9" width="14.8984375" style="6" customWidth="1"/>
    <col min="10" max="10" width="15.8984375" style="6" customWidth="1"/>
    <col min="11" max="11" width="12.59765625" style="6" customWidth="1"/>
    <col min="12" max="14" width="7.59765625" style="6" customWidth="1"/>
    <col min="15" max="15" width="8.8984375" style="6" customWidth="1"/>
    <col min="16" max="16" width="8.69921875" style="6" customWidth="1"/>
    <col min="17" max="16384" width="7.59765625" style="6" customWidth="1"/>
  </cols>
  <sheetData>
    <row r="1" spans="1:10" ht="16.5" customHeight="1">
      <c r="A1" s="527" t="s">
        <v>85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2" s="7" customFormat="1" ht="15.75">
      <c r="A2" s="526" t="s">
        <v>86</v>
      </c>
      <c r="B2" s="526"/>
      <c r="C2" s="526"/>
      <c r="D2" s="526"/>
      <c r="E2" s="526"/>
      <c r="F2" s="526"/>
      <c r="G2" s="526"/>
      <c r="H2" s="526"/>
      <c r="I2" s="526"/>
      <c r="J2" s="526"/>
      <c r="L2" s="460"/>
    </row>
    <row r="3" spans="1:10" s="7" customFormat="1" ht="15.75">
      <c r="A3" s="528" t="str">
        <f>'Cost of Debt (page 3&amp;4) '!A4</f>
        <v>Cause No. ____________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8" s="7" customFormat="1" ht="15.75">
      <c r="A4" s="52">
        <v>1</v>
      </c>
      <c r="H4" s="2"/>
    </row>
    <row r="5" spans="1:10" s="7" customFormat="1" ht="15.75">
      <c r="A5" s="8">
        <v>2</v>
      </c>
      <c r="B5" s="526" t="s">
        <v>88</v>
      </c>
      <c r="C5" s="526"/>
      <c r="D5" s="526"/>
      <c r="E5" s="526"/>
      <c r="F5" s="526"/>
      <c r="G5" s="526"/>
      <c r="H5" s="526"/>
      <c r="I5" s="526"/>
      <c r="J5" s="526"/>
    </row>
    <row r="6" spans="1:10" s="7" customFormat="1" ht="15.75">
      <c r="A6" s="8">
        <v>3</v>
      </c>
      <c r="B6" s="526" t="s">
        <v>89</v>
      </c>
      <c r="C6" s="526"/>
      <c r="D6" s="526"/>
      <c r="E6" s="526"/>
      <c r="F6" s="526"/>
      <c r="G6" s="526"/>
      <c r="H6" s="526"/>
      <c r="I6" s="526"/>
      <c r="J6" s="526"/>
    </row>
    <row r="7" spans="1:8" s="7" customFormat="1" ht="15.75">
      <c r="A7" s="8">
        <v>4</v>
      </c>
      <c r="B7" s="9"/>
      <c r="C7" s="9"/>
      <c r="D7" s="10"/>
      <c r="E7" s="10"/>
      <c r="F7" s="10"/>
      <c r="G7" s="10"/>
      <c r="H7" s="11"/>
    </row>
    <row r="8" spans="1:8" s="7" customFormat="1" ht="15.75">
      <c r="A8" s="8">
        <v>5</v>
      </c>
      <c r="B8" s="9"/>
      <c r="C8" s="9"/>
      <c r="D8" s="12" t="s">
        <v>68</v>
      </c>
      <c r="E8" s="11"/>
      <c r="F8" s="10"/>
      <c r="G8" s="10"/>
      <c r="H8" s="12" t="s">
        <v>68</v>
      </c>
    </row>
    <row r="9" spans="1:10" s="7" customFormat="1" ht="15.75">
      <c r="A9" s="8">
        <v>6</v>
      </c>
      <c r="B9" s="9"/>
      <c r="C9" s="9"/>
      <c r="D9" s="12" t="s">
        <v>31</v>
      </c>
      <c r="E9" s="11"/>
      <c r="F9" s="10"/>
      <c r="G9" s="10"/>
      <c r="H9" s="12" t="s">
        <v>31</v>
      </c>
      <c r="I9" s="12" t="s">
        <v>2</v>
      </c>
      <c r="J9" s="12" t="s">
        <v>15</v>
      </c>
    </row>
    <row r="10" spans="1:10" s="7" customFormat="1" ht="15.75">
      <c r="A10" s="8">
        <v>7</v>
      </c>
      <c r="B10" s="11" t="s">
        <v>1</v>
      </c>
      <c r="C10" s="11" t="s">
        <v>33</v>
      </c>
      <c r="D10" s="12" t="s">
        <v>90</v>
      </c>
      <c r="E10" s="11" t="s">
        <v>91</v>
      </c>
      <c r="F10" s="12" t="s">
        <v>16</v>
      </c>
      <c r="G10" s="12" t="s">
        <v>17</v>
      </c>
      <c r="H10" s="12" t="s">
        <v>92</v>
      </c>
      <c r="I10" s="11" t="s">
        <v>93</v>
      </c>
      <c r="J10" s="12" t="s">
        <v>73</v>
      </c>
    </row>
    <row r="11" spans="1:10" s="7" customFormat="1" ht="15.75">
      <c r="A11" s="8">
        <v>8</v>
      </c>
      <c r="B11" s="13" t="s">
        <v>33</v>
      </c>
      <c r="C11" s="13" t="s">
        <v>31</v>
      </c>
      <c r="D11" s="14" t="s">
        <v>33</v>
      </c>
      <c r="E11" s="13" t="s">
        <v>31</v>
      </c>
      <c r="F11" s="14" t="s">
        <v>18</v>
      </c>
      <c r="G11" s="14" t="s">
        <v>18</v>
      </c>
      <c r="H11" s="14" t="s">
        <v>33</v>
      </c>
      <c r="I11" s="13" t="s">
        <v>94</v>
      </c>
      <c r="J11" s="14" t="s">
        <v>94</v>
      </c>
    </row>
    <row r="12" s="7" customFormat="1" ht="15.75">
      <c r="A12" s="8">
        <v>9</v>
      </c>
    </row>
    <row r="13" spans="1:11" s="7" customFormat="1" ht="15.75">
      <c r="A13" s="8">
        <v>10</v>
      </c>
      <c r="B13" s="32">
        <v>0.0875</v>
      </c>
      <c r="C13" s="33">
        <v>27089</v>
      </c>
      <c r="D13" s="33">
        <v>38047</v>
      </c>
      <c r="E13" s="33">
        <v>33765</v>
      </c>
      <c r="F13" s="34" t="e">
        <f>H13-#REF!</f>
        <v>#REF!</v>
      </c>
      <c r="G13" s="35" t="e">
        <f aca="true" t="shared" si="0" ref="G13:G34">ROUND(F13/30.42,1)</f>
        <v>#REF!</v>
      </c>
      <c r="H13" s="33">
        <v>37405</v>
      </c>
      <c r="I13" s="36">
        <v>1746.41</v>
      </c>
      <c r="J13" s="37">
        <f>ROUND(I13*12,2)</f>
        <v>20956.92</v>
      </c>
      <c r="K13" s="426"/>
    </row>
    <row r="14" spans="1:11" s="7" customFormat="1" ht="15.75">
      <c r="A14" s="8">
        <v>11</v>
      </c>
      <c r="B14" s="38">
        <v>0.095</v>
      </c>
      <c r="C14" s="39">
        <v>25750</v>
      </c>
      <c r="D14" s="33">
        <v>36708</v>
      </c>
      <c r="E14" s="39">
        <v>31887</v>
      </c>
      <c r="F14" s="34" t="e">
        <f>H14-#REF!</f>
        <v>#REF!</v>
      </c>
      <c r="G14" s="35" t="e">
        <f t="shared" si="0"/>
        <v>#REF!</v>
      </c>
      <c r="H14" s="33">
        <v>37496</v>
      </c>
      <c r="I14" s="40">
        <v>1220.23</v>
      </c>
      <c r="J14" s="37">
        <f aca="true" t="shared" si="1" ref="J14:J34">ROUND(I14*12,2)</f>
        <v>14642.76</v>
      </c>
      <c r="K14" s="426"/>
    </row>
    <row r="15" spans="1:11" s="7" customFormat="1" ht="15.75">
      <c r="A15" s="8">
        <v>12</v>
      </c>
      <c r="B15" s="38">
        <v>0.09875</v>
      </c>
      <c r="C15" s="39">
        <v>28672</v>
      </c>
      <c r="D15" s="33">
        <v>39637</v>
      </c>
      <c r="E15" s="39">
        <v>31887</v>
      </c>
      <c r="F15" s="34" t="e">
        <f>H15-#REF!</f>
        <v>#REF!</v>
      </c>
      <c r="G15" s="35" t="e">
        <f t="shared" si="0"/>
        <v>#REF!</v>
      </c>
      <c r="H15" s="33">
        <v>37496</v>
      </c>
      <c r="I15" s="40">
        <v>94.01</v>
      </c>
      <c r="J15" s="37">
        <f t="shared" si="1"/>
        <v>1128.12</v>
      </c>
      <c r="K15" s="426"/>
    </row>
    <row r="16" spans="1:16" s="7" customFormat="1" ht="15.75">
      <c r="A16" s="8">
        <v>13</v>
      </c>
      <c r="B16" s="32">
        <v>0.1</v>
      </c>
      <c r="C16" s="33">
        <v>32043</v>
      </c>
      <c r="D16" s="33">
        <v>34592</v>
      </c>
      <c r="E16" s="33">
        <v>33862</v>
      </c>
      <c r="F16" s="34" t="e">
        <f>H16-#REF!</f>
        <v>#REF!</v>
      </c>
      <c r="G16" s="35" t="e">
        <f t="shared" si="0"/>
        <v>#REF!</v>
      </c>
      <c r="H16" s="33">
        <v>37496</v>
      </c>
      <c r="I16" s="36">
        <v>2238.2</v>
      </c>
      <c r="J16" s="37">
        <f t="shared" si="1"/>
        <v>26858.4</v>
      </c>
      <c r="K16" s="426"/>
      <c r="L16" s="15"/>
      <c r="M16" s="15"/>
      <c r="N16" s="15"/>
      <c r="O16" s="20"/>
      <c r="P16" s="16"/>
    </row>
    <row r="17" spans="1:11" s="7" customFormat="1" ht="15.75">
      <c r="A17" s="8">
        <v>14</v>
      </c>
      <c r="B17" s="32">
        <v>0.1</v>
      </c>
      <c r="C17" s="33">
        <v>32043</v>
      </c>
      <c r="D17" s="33">
        <v>34592</v>
      </c>
      <c r="E17" s="33">
        <v>33862</v>
      </c>
      <c r="F17" s="34" t="e">
        <f>H17-#REF!</f>
        <v>#REF!</v>
      </c>
      <c r="G17" s="35" t="e">
        <f t="shared" si="0"/>
        <v>#REF!</v>
      </c>
      <c r="H17" s="33">
        <v>37510</v>
      </c>
      <c r="I17" s="36">
        <v>653.99</v>
      </c>
      <c r="J17" s="37">
        <f t="shared" si="1"/>
        <v>7847.88</v>
      </c>
      <c r="K17" s="426"/>
    </row>
    <row r="18" spans="1:11" s="7" customFormat="1" ht="15.75">
      <c r="A18" s="8">
        <v>15</v>
      </c>
      <c r="B18" s="41">
        <v>0.094</v>
      </c>
      <c r="C18" s="42">
        <v>1994</v>
      </c>
      <c r="D18" s="42">
        <v>1999</v>
      </c>
      <c r="E18" s="43">
        <v>33635</v>
      </c>
      <c r="F18" s="42"/>
      <c r="G18" s="44"/>
      <c r="H18" s="43">
        <v>37529</v>
      </c>
      <c r="I18" s="36">
        <v>8263</v>
      </c>
      <c r="J18" s="37">
        <f t="shared" si="1"/>
        <v>99156</v>
      </c>
      <c r="K18" s="426"/>
    </row>
    <row r="19" spans="1:11" s="7" customFormat="1" ht="15.75">
      <c r="A19" s="8">
        <v>16</v>
      </c>
      <c r="B19" s="32" t="s">
        <v>23</v>
      </c>
      <c r="C19" s="33">
        <v>31729</v>
      </c>
      <c r="D19" s="33">
        <v>42887</v>
      </c>
      <c r="E19" s="33">
        <v>33973</v>
      </c>
      <c r="F19" s="34" t="e">
        <f>H19-#REF!</f>
        <v>#REF!</v>
      </c>
      <c r="G19" s="35" t="e">
        <f t="shared" si="0"/>
        <v>#REF!</v>
      </c>
      <c r="H19" s="33">
        <v>37600</v>
      </c>
      <c r="I19" s="36">
        <v>15383.53</v>
      </c>
      <c r="J19" s="37">
        <f t="shared" si="1"/>
        <v>184602.36</v>
      </c>
      <c r="K19" s="426"/>
    </row>
    <row r="20" spans="1:11" s="7" customFormat="1" ht="15.75">
      <c r="A20" s="8">
        <v>17</v>
      </c>
      <c r="B20" s="32">
        <v>0.0775</v>
      </c>
      <c r="C20" s="33">
        <v>26573</v>
      </c>
      <c r="D20" s="33">
        <v>37530</v>
      </c>
      <c r="E20" s="33">
        <v>34036</v>
      </c>
      <c r="F20" s="34" t="e">
        <f>H20-#REF!</f>
        <v>#REF!</v>
      </c>
      <c r="G20" s="45" t="e">
        <f t="shared" si="0"/>
        <v>#REF!</v>
      </c>
      <c r="H20" s="33">
        <v>37662</v>
      </c>
      <c r="I20" s="36">
        <v>1283.79</v>
      </c>
      <c r="J20" s="37">
        <f t="shared" si="1"/>
        <v>15405.48</v>
      </c>
      <c r="K20" s="426"/>
    </row>
    <row r="21" spans="1:11" s="7" customFormat="1" ht="15.75">
      <c r="A21" s="8">
        <v>18</v>
      </c>
      <c r="B21" s="32" t="s">
        <v>23</v>
      </c>
      <c r="C21" s="33">
        <v>31729</v>
      </c>
      <c r="D21" s="33">
        <v>42887</v>
      </c>
      <c r="E21" s="33">
        <v>33973</v>
      </c>
      <c r="F21" s="34" t="e">
        <f>H21-#REF!</f>
        <v>#REF!</v>
      </c>
      <c r="G21" s="35" t="e">
        <f t="shared" si="0"/>
        <v>#REF!</v>
      </c>
      <c r="H21" s="33">
        <v>38331</v>
      </c>
      <c r="I21" s="36">
        <v>25626.98</v>
      </c>
      <c r="J21" s="37">
        <f t="shared" si="1"/>
        <v>307523.76</v>
      </c>
      <c r="K21" s="426"/>
    </row>
    <row r="22" spans="1:11" s="7" customFormat="1" ht="15.75">
      <c r="A22" s="8">
        <v>19</v>
      </c>
      <c r="B22" s="32">
        <v>0.08875</v>
      </c>
      <c r="C22" s="33">
        <v>28061</v>
      </c>
      <c r="D22" s="33">
        <v>38991</v>
      </c>
      <c r="E22" s="33">
        <v>33777</v>
      </c>
      <c r="F22" s="34" t="e">
        <f>H22-#REF!</f>
        <v>#REF!</v>
      </c>
      <c r="G22" s="35" t="e">
        <f t="shared" si="0"/>
        <v>#REF!</v>
      </c>
      <c r="H22" s="33">
        <v>38887</v>
      </c>
      <c r="I22" s="36">
        <v>2506.71</v>
      </c>
      <c r="J22" s="37">
        <f t="shared" si="1"/>
        <v>30080.52</v>
      </c>
      <c r="K22" s="426"/>
    </row>
    <row r="23" spans="1:11" s="7" customFormat="1" ht="15.75">
      <c r="A23" s="8">
        <v>20</v>
      </c>
      <c r="B23" s="32">
        <v>0.0825</v>
      </c>
      <c r="C23" s="33">
        <v>31511</v>
      </c>
      <c r="D23" s="33">
        <v>35156</v>
      </c>
      <c r="E23" s="33">
        <v>33695</v>
      </c>
      <c r="F23" s="34" t="e">
        <f>H23-#REF!</f>
        <v>#REF!</v>
      </c>
      <c r="G23" s="35" t="e">
        <f t="shared" si="0"/>
        <v>#REF!</v>
      </c>
      <c r="H23" s="33">
        <v>39114</v>
      </c>
      <c r="I23" s="36">
        <v>9098.21</v>
      </c>
      <c r="J23" s="37">
        <f t="shared" si="1"/>
        <v>109178.52</v>
      </c>
      <c r="K23" s="426"/>
    </row>
    <row r="24" spans="1:11" s="7" customFormat="1" ht="15.75">
      <c r="A24" s="8">
        <v>21</v>
      </c>
      <c r="B24" s="46" t="s">
        <v>20</v>
      </c>
      <c r="C24" s="33">
        <v>30133</v>
      </c>
      <c r="D24" s="33">
        <v>41091</v>
      </c>
      <c r="E24" s="33">
        <v>31580</v>
      </c>
      <c r="F24" s="34" t="e">
        <f>H24-#REF!</f>
        <v>#REF!</v>
      </c>
      <c r="G24" s="35" t="e">
        <f t="shared" si="0"/>
        <v>#REF!</v>
      </c>
      <c r="H24" s="33">
        <v>41091</v>
      </c>
      <c r="I24" s="36">
        <v>5013.63</v>
      </c>
      <c r="J24" s="37">
        <f t="shared" si="1"/>
        <v>60163.56</v>
      </c>
      <c r="K24" s="426"/>
    </row>
    <row r="25" spans="1:11" s="7" customFormat="1" ht="15.75">
      <c r="A25" s="8">
        <v>22</v>
      </c>
      <c r="B25" s="46" t="s">
        <v>21</v>
      </c>
      <c r="C25" s="39">
        <v>31580</v>
      </c>
      <c r="D25" s="33">
        <v>41091</v>
      </c>
      <c r="E25" s="39">
        <v>33459</v>
      </c>
      <c r="F25" s="34" t="e">
        <f>H25-#REF!</f>
        <v>#REF!</v>
      </c>
      <c r="G25" s="35" t="e">
        <f t="shared" si="0"/>
        <v>#REF!</v>
      </c>
      <c r="H25" s="33">
        <v>41091</v>
      </c>
      <c r="I25" s="36">
        <v>908.82</v>
      </c>
      <c r="J25" s="37">
        <f t="shared" si="1"/>
        <v>10905.84</v>
      </c>
      <c r="K25" s="426"/>
    </row>
    <row r="26" spans="1:11" s="7" customFormat="1" ht="15.75">
      <c r="A26" s="8">
        <v>23</v>
      </c>
      <c r="B26" s="32">
        <v>0.1025</v>
      </c>
      <c r="C26" s="33">
        <v>32140</v>
      </c>
      <c r="D26" s="33">
        <v>35779</v>
      </c>
      <c r="E26" s="33">
        <v>35048</v>
      </c>
      <c r="F26" s="34" t="e">
        <f>H26-#REF!</f>
        <v>#REF!</v>
      </c>
      <c r="G26" s="35" t="e">
        <f t="shared" si="0"/>
        <v>#REF!</v>
      </c>
      <c r="H26" s="33">
        <v>42684</v>
      </c>
      <c r="I26" s="36">
        <v>1528</v>
      </c>
      <c r="J26" s="37">
        <f t="shared" si="1"/>
        <v>18336</v>
      </c>
      <c r="K26" s="426"/>
    </row>
    <row r="27" spans="1:11" s="7" customFormat="1" ht="15.75">
      <c r="A27" s="8">
        <v>24</v>
      </c>
      <c r="B27" s="32">
        <v>0.0914</v>
      </c>
      <c r="C27" s="33">
        <v>33410</v>
      </c>
      <c r="D27" s="33">
        <v>37063</v>
      </c>
      <c r="E27" s="33">
        <v>35961</v>
      </c>
      <c r="F27" s="34" t="e">
        <f>H27-#REF!</f>
        <v>#REF!</v>
      </c>
      <c r="G27" s="35" t="e">
        <f>ROUND(F27/30.42,1)</f>
        <v>#REF!</v>
      </c>
      <c r="H27" s="33">
        <v>43266</v>
      </c>
      <c r="I27" s="36">
        <v>291.67</v>
      </c>
      <c r="J27" s="37">
        <f t="shared" si="1"/>
        <v>3500.04</v>
      </c>
      <c r="K27" s="426"/>
    </row>
    <row r="28" spans="1:11" s="7" customFormat="1" ht="15.75">
      <c r="A28" s="8">
        <v>25</v>
      </c>
      <c r="B28" s="32">
        <v>0.059</v>
      </c>
      <c r="C28" s="33">
        <v>26816</v>
      </c>
      <c r="D28" s="33">
        <v>37773</v>
      </c>
      <c r="E28" s="33" t="s">
        <v>19</v>
      </c>
      <c r="F28" s="34" t="e">
        <f>H28-#REF!</f>
        <v>#REF!</v>
      </c>
      <c r="G28" s="35" t="e">
        <f t="shared" si="0"/>
        <v>#REF!</v>
      </c>
      <c r="H28" s="33">
        <v>43922</v>
      </c>
      <c r="I28" s="36">
        <v>-204</v>
      </c>
      <c r="J28" s="37">
        <f t="shared" si="1"/>
        <v>-2448</v>
      </c>
      <c r="K28" s="426"/>
    </row>
    <row r="29" spans="1:11" s="7" customFormat="1" ht="15.75">
      <c r="A29" s="8">
        <v>26</v>
      </c>
      <c r="B29" s="32" t="s">
        <v>24</v>
      </c>
      <c r="C29" s="33">
        <v>28298</v>
      </c>
      <c r="D29" s="33">
        <v>39234</v>
      </c>
      <c r="E29" s="33">
        <v>34088</v>
      </c>
      <c r="F29" s="34" t="e">
        <f>H29-#REF!</f>
        <v>#REF!</v>
      </c>
      <c r="G29" s="35" t="e">
        <f t="shared" si="0"/>
        <v>#REF!</v>
      </c>
      <c r="H29" s="33">
        <v>43922</v>
      </c>
      <c r="I29" s="36">
        <v>410.42</v>
      </c>
      <c r="J29" s="37">
        <f t="shared" si="1"/>
        <v>4925.04</v>
      </c>
      <c r="K29" s="426"/>
    </row>
    <row r="30" spans="1:11" s="7" customFormat="1" ht="15" customHeight="1">
      <c r="A30" s="8">
        <v>27</v>
      </c>
      <c r="B30" s="46" t="s">
        <v>20</v>
      </c>
      <c r="C30" s="33">
        <v>30133</v>
      </c>
      <c r="D30" s="33">
        <v>41091</v>
      </c>
      <c r="E30" s="33">
        <v>31580</v>
      </c>
      <c r="F30" s="34" t="e">
        <f>H30-#REF!</f>
        <v>#REF!</v>
      </c>
      <c r="G30" s="35" t="e">
        <f t="shared" si="0"/>
        <v>#REF!</v>
      </c>
      <c r="H30" s="33">
        <v>44409</v>
      </c>
      <c r="I30" s="36">
        <v>1098.62</v>
      </c>
      <c r="J30" s="37">
        <f t="shared" si="1"/>
        <v>13183.44</v>
      </c>
      <c r="K30" s="426"/>
    </row>
    <row r="31" spans="1:11" s="7" customFormat="1" ht="15" customHeight="1">
      <c r="A31" s="8">
        <v>28</v>
      </c>
      <c r="B31" s="47" t="s">
        <v>22</v>
      </c>
      <c r="C31" s="33">
        <v>31882</v>
      </c>
      <c r="D31" s="33">
        <v>42705</v>
      </c>
      <c r="E31" s="39">
        <v>33459</v>
      </c>
      <c r="F31" s="34" t="e">
        <f>H31-#REF!</f>
        <v>#REF!</v>
      </c>
      <c r="G31" s="35" t="e">
        <f t="shared" si="0"/>
        <v>#REF!</v>
      </c>
      <c r="H31" s="33">
        <v>44409</v>
      </c>
      <c r="I31" s="36">
        <v>1573.06</v>
      </c>
      <c r="J31" s="37">
        <f t="shared" si="1"/>
        <v>18876.72</v>
      </c>
      <c r="K31" s="426"/>
    </row>
    <row r="32" spans="1:11" s="7" customFormat="1" ht="15.75">
      <c r="A32" s="8">
        <v>29</v>
      </c>
      <c r="B32" s="46" t="s">
        <v>21</v>
      </c>
      <c r="C32" s="39">
        <v>31580</v>
      </c>
      <c r="D32" s="33">
        <v>41091</v>
      </c>
      <c r="E32" s="39">
        <v>33675</v>
      </c>
      <c r="F32" s="34" t="e">
        <f>H32-#REF!</f>
        <v>#REF!</v>
      </c>
      <c r="G32" s="35" t="e">
        <f t="shared" si="0"/>
        <v>#REF!</v>
      </c>
      <c r="H32" s="33">
        <v>44621</v>
      </c>
      <c r="I32" s="36">
        <v>1945.52</v>
      </c>
      <c r="J32" s="37">
        <f t="shared" si="1"/>
        <v>23346.24</v>
      </c>
      <c r="K32" s="426"/>
    </row>
    <row r="33" spans="1:11" s="7" customFormat="1" ht="15.75">
      <c r="A33" s="8">
        <v>30</v>
      </c>
      <c r="B33" s="32">
        <v>0.0719</v>
      </c>
      <c r="C33" s="33">
        <v>34199</v>
      </c>
      <c r="D33" s="33">
        <v>45156</v>
      </c>
      <c r="E33" s="33">
        <v>36844</v>
      </c>
      <c r="F33" s="34"/>
      <c r="G33" s="35"/>
      <c r="H33" s="33">
        <v>45156</v>
      </c>
      <c r="I33" s="36">
        <v>-10083.11</v>
      </c>
      <c r="J33" s="37">
        <f t="shared" si="1"/>
        <v>-120997.32</v>
      </c>
      <c r="K33" s="426"/>
    </row>
    <row r="34" spans="1:11" s="7" customFormat="1" ht="15.75">
      <c r="A34" s="8">
        <v>31</v>
      </c>
      <c r="B34" s="32">
        <v>0.09625</v>
      </c>
      <c r="C34" s="33">
        <v>33161</v>
      </c>
      <c r="D34" s="33">
        <v>35718</v>
      </c>
      <c r="E34" s="33">
        <v>34372</v>
      </c>
      <c r="F34" s="34" t="e">
        <f>H34-#REF!</f>
        <v>#REF!</v>
      </c>
      <c r="G34" s="35" t="e">
        <f t="shared" si="0"/>
        <v>#REF!</v>
      </c>
      <c r="H34" s="33">
        <v>45323</v>
      </c>
      <c r="I34" s="36">
        <v>14073.34</v>
      </c>
      <c r="J34" s="37">
        <f t="shared" si="1"/>
        <v>168880.08</v>
      </c>
      <c r="K34" s="426"/>
    </row>
    <row r="35" spans="1:11" s="7" customFormat="1" ht="15.75">
      <c r="A35" s="8">
        <v>32</v>
      </c>
      <c r="B35" s="2"/>
      <c r="C35" s="2"/>
      <c r="D35" s="2"/>
      <c r="E35" s="2"/>
      <c r="F35" s="2"/>
      <c r="G35" s="2"/>
      <c r="H35" s="2"/>
      <c r="I35" s="2"/>
      <c r="J35" s="2"/>
      <c r="K35" s="10"/>
    </row>
    <row r="36" spans="1:12" s="7" customFormat="1" ht="15.75">
      <c r="A36" s="8">
        <v>33</v>
      </c>
      <c r="B36" s="21" t="s">
        <v>95</v>
      </c>
      <c r="C36" s="3"/>
      <c r="D36" s="3"/>
      <c r="E36" s="3"/>
      <c r="F36" s="3"/>
      <c r="G36" s="3"/>
      <c r="H36" s="3"/>
      <c r="I36" s="48">
        <f>ROUND(SUM(I13:I35),2)</f>
        <v>84671.03</v>
      </c>
      <c r="J36" s="49">
        <f>ROUND(SUM(J13:J35),2)</f>
        <v>1016052.36</v>
      </c>
      <c r="K36" s="22"/>
      <c r="L36" s="19"/>
    </row>
    <row r="37" spans="1:11" s="7" customFormat="1" ht="15.75">
      <c r="A37" s="8">
        <v>34</v>
      </c>
      <c r="K37" s="10"/>
    </row>
    <row r="38" spans="1:11" s="7" customFormat="1" ht="15.75">
      <c r="A38" s="8">
        <v>35</v>
      </c>
      <c r="B38" s="10" t="s">
        <v>97</v>
      </c>
      <c r="K38" s="10"/>
    </row>
    <row r="39" spans="1:10" s="23" customFormat="1" ht="15.75">
      <c r="A39" s="8">
        <v>36</v>
      </c>
      <c r="B39" s="7" t="s">
        <v>232</v>
      </c>
      <c r="C39" s="7"/>
      <c r="D39" s="7"/>
      <c r="E39" s="7"/>
      <c r="F39" s="7"/>
      <c r="G39" s="7"/>
      <c r="H39" s="7"/>
      <c r="I39" s="7"/>
      <c r="J39" s="7"/>
    </row>
    <row r="40" spans="1:11" s="7" customFormat="1" ht="15.75">
      <c r="A40" s="8">
        <v>37</v>
      </c>
      <c r="B40" s="7" t="s">
        <v>96</v>
      </c>
      <c r="K40" s="24"/>
    </row>
    <row r="41" spans="1:11" s="7" customFormat="1" ht="15.75">
      <c r="A41" s="8">
        <v>38</v>
      </c>
      <c r="K41" s="24"/>
    </row>
    <row r="42" spans="1:11" s="7" customFormat="1" ht="15.75">
      <c r="A42" s="8">
        <v>39</v>
      </c>
      <c r="B42" s="32">
        <v>0.0875</v>
      </c>
      <c r="C42" s="33">
        <v>27089</v>
      </c>
      <c r="D42" s="33">
        <v>38047</v>
      </c>
      <c r="E42" s="33">
        <v>33765</v>
      </c>
      <c r="F42" s="34" t="e">
        <f>H42-#REF!</f>
        <v>#REF!</v>
      </c>
      <c r="G42" s="35" t="e">
        <f aca="true" t="shared" si="2" ref="G42:G49">ROUND(F42/30.42,1)</f>
        <v>#REF!</v>
      </c>
      <c r="H42" s="33">
        <v>37405</v>
      </c>
      <c r="I42" s="36">
        <f aca="true" t="shared" si="3" ref="I42:J47">I13*-1</f>
        <v>-1746.41</v>
      </c>
      <c r="J42" s="37">
        <f t="shared" si="3"/>
        <v>-20956.92</v>
      </c>
      <c r="K42" s="24"/>
    </row>
    <row r="43" spans="1:11" s="7" customFormat="1" ht="15.75">
      <c r="A43" s="8">
        <v>40</v>
      </c>
      <c r="B43" s="38">
        <v>0.095</v>
      </c>
      <c r="C43" s="39">
        <v>25750</v>
      </c>
      <c r="D43" s="33">
        <v>36708</v>
      </c>
      <c r="E43" s="39">
        <v>31887</v>
      </c>
      <c r="F43" s="34" t="e">
        <f>H43-#REF!</f>
        <v>#REF!</v>
      </c>
      <c r="G43" s="35" t="e">
        <f t="shared" si="2"/>
        <v>#REF!</v>
      </c>
      <c r="H43" s="33">
        <v>37496</v>
      </c>
      <c r="I43" s="36">
        <f t="shared" si="3"/>
        <v>-1220.23</v>
      </c>
      <c r="J43" s="37">
        <f t="shared" si="3"/>
        <v>-14642.76</v>
      </c>
      <c r="K43" s="24"/>
    </row>
    <row r="44" spans="1:11" s="7" customFormat="1" ht="15.75">
      <c r="A44" s="8">
        <v>41</v>
      </c>
      <c r="B44" s="38">
        <v>0.09875</v>
      </c>
      <c r="C44" s="39">
        <v>28672</v>
      </c>
      <c r="D44" s="33">
        <v>39637</v>
      </c>
      <c r="E44" s="39">
        <v>31887</v>
      </c>
      <c r="F44" s="34" t="e">
        <f>H44-#REF!</f>
        <v>#REF!</v>
      </c>
      <c r="G44" s="35" t="e">
        <f t="shared" si="2"/>
        <v>#REF!</v>
      </c>
      <c r="H44" s="33">
        <v>37496</v>
      </c>
      <c r="I44" s="36">
        <f t="shared" si="3"/>
        <v>-94.01</v>
      </c>
      <c r="J44" s="37">
        <f t="shared" si="3"/>
        <v>-1128.12</v>
      </c>
      <c r="K44" s="24"/>
    </row>
    <row r="45" spans="1:11" s="7" customFormat="1" ht="15.75">
      <c r="A45" s="8">
        <v>42</v>
      </c>
      <c r="B45" s="32">
        <v>0.1</v>
      </c>
      <c r="C45" s="33">
        <v>32043</v>
      </c>
      <c r="D45" s="33">
        <v>34592</v>
      </c>
      <c r="E45" s="33">
        <v>33862</v>
      </c>
      <c r="F45" s="34" t="e">
        <f>H45-#REF!</f>
        <v>#REF!</v>
      </c>
      <c r="G45" s="35" t="e">
        <f t="shared" si="2"/>
        <v>#REF!</v>
      </c>
      <c r="H45" s="33">
        <v>37496</v>
      </c>
      <c r="I45" s="36">
        <f t="shared" si="3"/>
        <v>-2238.2</v>
      </c>
      <c r="J45" s="37">
        <f t="shared" si="3"/>
        <v>-26858.4</v>
      </c>
      <c r="K45" s="24"/>
    </row>
    <row r="46" spans="1:11" s="7" customFormat="1" ht="15.75">
      <c r="A46" s="8">
        <v>43</v>
      </c>
      <c r="B46" s="32">
        <v>0.1</v>
      </c>
      <c r="C46" s="33">
        <v>32043</v>
      </c>
      <c r="D46" s="33">
        <v>34592</v>
      </c>
      <c r="E46" s="33">
        <v>33862</v>
      </c>
      <c r="F46" s="34" t="e">
        <f>H46-#REF!</f>
        <v>#REF!</v>
      </c>
      <c r="G46" s="35" t="e">
        <f t="shared" si="2"/>
        <v>#REF!</v>
      </c>
      <c r="H46" s="33">
        <v>37510</v>
      </c>
      <c r="I46" s="36">
        <f t="shared" si="3"/>
        <v>-653.99</v>
      </c>
      <c r="J46" s="37">
        <f t="shared" si="3"/>
        <v>-7847.88</v>
      </c>
      <c r="K46" s="24"/>
    </row>
    <row r="47" spans="1:11" s="7" customFormat="1" ht="15.75">
      <c r="A47" s="8">
        <v>44</v>
      </c>
      <c r="B47" s="41">
        <v>0.094</v>
      </c>
      <c r="C47" s="42">
        <v>1994</v>
      </c>
      <c r="D47" s="42">
        <v>1999</v>
      </c>
      <c r="E47" s="43">
        <v>33635</v>
      </c>
      <c r="F47" s="42"/>
      <c r="G47" s="44"/>
      <c r="H47" s="43">
        <v>37529</v>
      </c>
      <c r="I47" s="36">
        <f t="shared" si="3"/>
        <v>-8263</v>
      </c>
      <c r="J47" s="37">
        <f t="shared" si="3"/>
        <v>-99156</v>
      </c>
      <c r="K47" s="24"/>
    </row>
    <row r="48" spans="1:11" s="7" customFormat="1" ht="15.75">
      <c r="A48" s="8">
        <v>45</v>
      </c>
      <c r="B48" s="32" t="s">
        <v>23</v>
      </c>
      <c r="C48" s="33">
        <v>31729</v>
      </c>
      <c r="D48" s="33">
        <v>42887</v>
      </c>
      <c r="E48" s="33">
        <v>33973</v>
      </c>
      <c r="F48" s="34" t="e">
        <f>H48-#REF!</f>
        <v>#REF!</v>
      </c>
      <c r="G48" s="35" t="e">
        <f t="shared" si="2"/>
        <v>#REF!</v>
      </c>
      <c r="H48" s="33">
        <v>37600</v>
      </c>
      <c r="I48" s="36">
        <f>I19*-1</f>
        <v>-15383.53</v>
      </c>
      <c r="J48" s="37">
        <f>ROUND(I48*(12-2.3),2)</f>
        <v>-149220.24</v>
      </c>
      <c r="K48" s="24"/>
    </row>
    <row r="49" spans="1:11" s="7" customFormat="1" ht="15.75">
      <c r="A49" s="8">
        <v>46</v>
      </c>
      <c r="B49" s="32">
        <v>0.0775</v>
      </c>
      <c r="C49" s="33">
        <v>26573</v>
      </c>
      <c r="D49" s="33">
        <v>37530</v>
      </c>
      <c r="E49" s="33">
        <v>34036</v>
      </c>
      <c r="F49" s="34" t="e">
        <f>H49-#REF!</f>
        <v>#REF!</v>
      </c>
      <c r="G49" s="45" t="e">
        <f t="shared" si="2"/>
        <v>#REF!</v>
      </c>
      <c r="H49" s="33">
        <v>37662</v>
      </c>
      <c r="I49" s="36">
        <f>I20*-1</f>
        <v>-1283.79</v>
      </c>
      <c r="J49" s="37">
        <f>ROUND(I49*(12-4.3),2)</f>
        <v>-9885.18</v>
      </c>
      <c r="K49" s="24"/>
    </row>
    <row r="50" spans="1:11" s="7" customFormat="1" ht="15.75">
      <c r="A50" s="8">
        <v>47</v>
      </c>
      <c r="B50" s="32"/>
      <c r="C50" s="33"/>
      <c r="D50" s="33"/>
      <c r="E50" s="33"/>
      <c r="F50" s="34"/>
      <c r="G50" s="45"/>
      <c r="H50" s="33"/>
      <c r="I50" s="36"/>
      <c r="J50" s="37"/>
      <c r="K50" s="24"/>
    </row>
    <row r="51" spans="1:11" s="7" customFormat="1" ht="15.75">
      <c r="A51" s="8">
        <v>48</v>
      </c>
      <c r="B51" s="458" t="s">
        <v>233</v>
      </c>
      <c r="C51" s="33"/>
      <c r="D51" s="33"/>
      <c r="E51" s="33"/>
      <c r="F51" s="34"/>
      <c r="G51" s="45"/>
      <c r="H51" s="33"/>
      <c r="I51" s="36"/>
      <c r="J51" s="37"/>
      <c r="K51" s="24"/>
    </row>
    <row r="52" spans="1:11" s="7" customFormat="1" ht="15.75">
      <c r="A52" s="8">
        <v>49</v>
      </c>
      <c r="B52" s="458" t="s">
        <v>234</v>
      </c>
      <c r="C52" s="33"/>
      <c r="D52" s="33"/>
      <c r="E52" s="33"/>
      <c r="F52" s="34"/>
      <c r="G52" s="45"/>
      <c r="H52" s="33"/>
      <c r="I52" s="36"/>
      <c r="J52" s="37"/>
      <c r="K52" s="24"/>
    </row>
    <row r="53" spans="1:11" s="7" customFormat="1" ht="15.75">
      <c r="A53" s="8">
        <v>50</v>
      </c>
      <c r="B53" s="458"/>
      <c r="C53" s="33"/>
      <c r="D53" s="33"/>
      <c r="E53" s="33"/>
      <c r="F53" s="34"/>
      <c r="G53" s="45"/>
      <c r="H53" s="33"/>
      <c r="I53" s="36"/>
      <c r="J53" s="37"/>
      <c r="K53" s="24"/>
    </row>
    <row r="54" spans="1:11" s="7" customFormat="1" ht="15.75">
      <c r="A54" s="8">
        <v>51</v>
      </c>
      <c r="B54" s="459">
        <v>0.0859</v>
      </c>
      <c r="C54" s="33">
        <v>33703</v>
      </c>
      <c r="D54" s="33">
        <v>41008</v>
      </c>
      <c r="E54" s="33">
        <v>37355</v>
      </c>
      <c r="F54" s="34"/>
      <c r="G54" s="45"/>
      <c r="H54" s="33">
        <v>41008</v>
      </c>
      <c r="I54" s="36">
        <f>ROUND(((5000000/100)*(102.89-100))/120,2)</f>
        <v>1204.17</v>
      </c>
      <c r="J54" s="37">
        <f>ROUND(I54*12,2)</f>
        <v>14450.04</v>
      </c>
      <c r="K54" s="24"/>
    </row>
    <row r="55" spans="1:11" s="7" customFormat="1" ht="15.75">
      <c r="A55" s="8">
        <v>52</v>
      </c>
      <c r="B55" s="459">
        <v>0.082</v>
      </c>
      <c r="C55" s="33">
        <v>33959</v>
      </c>
      <c r="D55" s="33">
        <v>41264</v>
      </c>
      <c r="E55" s="33">
        <v>37611</v>
      </c>
      <c r="F55" s="34"/>
      <c r="G55" s="45"/>
      <c r="H55" s="33">
        <v>41264</v>
      </c>
      <c r="I55" s="36">
        <f>ROUND(((30000000/100)*(102.7-100))/120,2)</f>
        <v>6750</v>
      </c>
      <c r="J55" s="37">
        <f>ROUND(I55*9.3,2)</f>
        <v>62775</v>
      </c>
      <c r="K55" s="24"/>
    </row>
    <row r="56" spans="1:11" s="7" customFormat="1" ht="15.75">
      <c r="A56" s="8">
        <v>53</v>
      </c>
      <c r="B56" s="32">
        <v>0.0825</v>
      </c>
      <c r="C56" s="33">
        <v>33828</v>
      </c>
      <c r="D56" s="33">
        <v>44785</v>
      </c>
      <c r="E56" s="33">
        <v>37482</v>
      </c>
      <c r="F56" s="34"/>
      <c r="G56" s="45"/>
      <c r="H56" s="33">
        <v>44785</v>
      </c>
      <c r="I56" s="36">
        <f>ROUND(((25000000/100)*(104.125-100))/240,2)</f>
        <v>4296.88</v>
      </c>
      <c r="J56" s="37">
        <f>ROUND(I56*12,2)</f>
        <v>51562.56</v>
      </c>
      <c r="K56" s="24"/>
    </row>
    <row r="57" spans="1:10" s="7" customFormat="1" ht="15.75">
      <c r="A57" s="8">
        <v>54</v>
      </c>
      <c r="B57" s="17"/>
      <c r="C57" s="18"/>
      <c r="D57" s="15"/>
      <c r="E57" s="15"/>
      <c r="F57" s="15"/>
      <c r="G57" s="15"/>
      <c r="H57" s="18"/>
      <c r="I57" s="25"/>
      <c r="J57" s="25"/>
    </row>
    <row r="58" spans="1:11" s="7" customFormat="1" ht="15.75">
      <c r="A58" s="8">
        <v>55</v>
      </c>
      <c r="B58" s="5" t="s">
        <v>235</v>
      </c>
      <c r="C58" s="4"/>
      <c r="D58" s="4"/>
      <c r="E58" s="4"/>
      <c r="F58" s="4"/>
      <c r="G58" s="4"/>
      <c r="H58" s="4"/>
      <c r="I58" s="50">
        <f>ROUND(SUM(I42:I56),2)</f>
        <v>-18632.11</v>
      </c>
      <c r="J58" s="51">
        <f>ROUND(SUM(J42:J56),2)</f>
        <v>-200907.9</v>
      </c>
      <c r="K58" s="26"/>
    </row>
    <row r="59" spans="1:11" s="7" customFormat="1" ht="15.75">
      <c r="A59" s="8">
        <v>56</v>
      </c>
      <c r="B59" s="29"/>
      <c r="C59" s="30"/>
      <c r="D59" s="30"/>
      <c r="E59" s="30"/>
      <c r="F59" s="30"/>
      <c r="G59" s="30"/>
      <c r="H59" s="30"/>
      <c r="I59" s="31"/>
      <c r="J59" s="31"/>
      <c r="K59" s="26"/>
    </row>
    <row r="60" spans="1:11" s="7" customFormat="1" ht="15.75">
      <c r="A60" s="8">
        <v>57</v>
      </c>
      <c r="B60" s="5" t="s">
        <v>98</v>
      </c>
      <c r="C60" s="4"/>
      <c r="D60" s="4"/>
      <c r="E60" s="4"/>
      <c r="F60" s="4"/>
      <c r="G60" s="4"/>
      <c r="H60" s="4"/>
      <c r="I60" s="50">
        <f>ROUND((I36+I58),2)</f>
        <v>66038.92</v>
      </c>
      <c r="J60" s="51">
        <f>ROUND((J36+J58),2)</f>
        <v>815144.46</v>
      </c>
      <c r="K60" s="26"/>
    </row>
    <row r="61" spans="1:11" s="7" customFormat="1" ht="15.75">
      <c r="A61" s="8">
        <v>58</v>
      </c>
      <c r="B61" s="29"/>
      <c r="C61" s="30"/>
      <c r="D61" s="30"/>
      <c r="E61" s="30"/>
      <c r="F61" s="30"/>
      <c r="G61" s="30"/>
      <c r="H61" s="30"/>
      <c r="I61" s="31"/>
      <c r="J61" s="31"/>
      <c r="K61" s="26"/>
    </row>
    <row r="62" spans="1:10" s="7" customFormat="1" ht="15.75">
      <c r="A62" s="8">
        <v>59</v>
      </c>
      <c r="B62" s="27" t="s">
        <v>239</v>
      </c>
      <c r="H62" s="28"/>
      <c r="I62" s="28"/>
      <c r="J62" s="28"/>
    </row>
    <row r="63" spans="1:10" s="7" customFormat="1" ht="15.75">
      <c r="A63" s="8">
        <v>60</v>
      </c>
      <c r="B63" s="27" t="s">
        <v>240</v>
      </c>
      <c r="C63" s="27"/>
      <c r="H63" s="28"/>
      <c r="I63" s="28"/>
      <c r="J63" s="28"/>
    </row>
    <row r="64" spans="1:10" s="7" customFormat="1" ht="15.75">
      <c r="A64" s="8">
        <v>61</v>
      </c>
      <c r="H64" s="28"/>
      <c r="I64" s="28"/>
      <c r="J64" s="28"/>
    </row>
    <row r="65" spans="1:10" s="7" customFormat="1" ht="15.75">
      <c r="A65" s="8">
        <v>62</v>
      </c>
      <c r="B65" s="27" t="s">
        <v>241</v>
      </c>
      <c r="C65" s="27"/>
      <c r="H65" s="28"/>
      <c r="I65" s="28"/>
      <c r="J65" s="28"/>
    </row>
    <row r="66" spans="1:10" s="7" customFormat="1" ht="15.75">
      <c r="A66" s="8"/>
      <c r="H66" s="28"/>
      <c r="I66" s="28"/>
      <c r="J66" s="28"/>
    </row>
    <row r="67" spans="1:10" s="7" customFormat="1" ht="15.75">
      <c r="A67" s="8"/>
      <c r="H67" s="28"/>
      <c r="I67" s="28"/>
      <c r="J67" s="28"/>
    </row>
    <row r="68" spans="1:10" s="7" customFormat="1" ht="15.75">
      <c r="A68" s="8"/>
      <c r="H68" s="28"/>
      <c r="I68" s="28"/>
      <c r="J68" s="28"/>
    </row>
    <row r="69" spans="1:10" s="7" customFormat="1" ht="15.75">
      <c r="A69" s="8"/>
      <c r="H69" s="28"/>
      <c r="I69" s="28"/>
      <c r="J69" s="28"/>
    </row>
    <row r="70" spans="1:10" s="7" customFormat="1" ht="15.75">
      <c r="A70" s="8"/>
      <c r="H70" s="28"/>
      <c r="I70" s="28"/>
      <c r="J70" s="28"/>
    </row>
    <row r="71" spans="8:10" s="7" customFormat="1" ht="15.75">
      <c r="H71" s="28"/>
      <c r="I71" s="28"/>
      <c r="J71" s="28"/>
    </row>
    <row r="72" spans="8:10" s="7" customFormat="1" ht="15.75">
      <c r="H72" s="28"/>
      <c r="I72" s="28"/>
      <c r="J72" s="28"/>
    </row>
    <row r="73" spans="8:10" s="7" customFormat="1" ht="15.75">
      <c r="H73" s="28"/>
      <c r="I73" s="28"/>
      <c r="J73" s="28"/>
    </row>
    <row r="74" spans="8:10" s="7" customFormat="1" ht="15.75">
      <c r="H74" s="28"/>
      <c r="I74" s="28"/>
      <c r="J74" s="28"/>
    </row>
    <row r="75" spans="8:10" s="7" customFormat="1" ht="15.75">
      <c r="H75" s="28"/>
      <c r="I75" s="28"/>
      <c r="J75" s="28"/>
    </row>
    <row r="76" spans="8:10" s="7" customFormat="1" ht="15.75">
      <c r="H76" s="28"/>
      <c r="I76" s="28"/>
      <c r="J76" s="28"/>
    </row>
    <row r="77" spans="8:10" s="7" customFormat="1" ht="15.75">
      <c r="H77" s="28"/>
      <c r="I77" s="28"/>
      <c r="J77" s="28"/>
    </row>
    <row r="78" spans="8:10" s="7" customFormat="1" ht="15.75">
      <c r="H78" s="28"/>
      <c r="I78" s="28"/>
      <c r="J78" s="28"/>
    </row>
    <row r="79" spans="8:10" s="7" customFormat="1" ht="15.75">
      <c r="H79" s="28"/>
      <c r="I79" s="28"/>
      <c r="J79" s="28"/>
    </row>
    <row r="80" spans="8:10" s="7" customFormat="1" ht="15.75">
      <c r="H80" s="28"/>
      <c r="I80" s="28"/>
      <c r="J80" s="28"/>
    </row>
    <row r="81" spans="8:10" s="7" customFormat="1" ht="15.75">
      <c r="H81" s="28"/>
      <c r="I81" s="28"/>
      <c r="J81" s="28"/>
    </row>
    <row r="82" spans="8:10" s="7" customFormat="1" ht="15.75">
      <c r="H82" s="28"/>
      <c r="I82" s="28"/>
      <c r="J82" s="28"/>
    </row>
    <row r="83" spans="8:10" s="7" customFormat="1" ht="15.75">
      <c r="H83" s="28"/>
      <c r="I83" s="28"/>
      <c r="J83" s="28"/>
    </row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</sheetData>
  <mergeCells count="5">
    <mergeCell ref="B5:J5"/>
    <mergeCell ref="B6:J6"/>
    <mergeCell ref="A1:J1"/>
    <mergeCell ref="A2:J2"/>
    <mergeCell ref="A3:J3"/>
  </mergeCells>
  <printOptions horizontalCentered="1"/>
  <pageMargins left="0.75" right="0.75" top="0.74" bottom="0.71" header="0.5" footer="0.5"/>
  <pageSetup fitToHeight="1" fitToWidth="1" horizontalDpi="300" verticalDpi="300" orientation="portrait" scale="67" r:id="rId1"/>
  <headerFooter alignWithMargins="0">
    <oddHeader xml:space="preserve">&amp;R&amp;"Times New Roman,Regular" Page 8 </oddHeader>
    <oddFooter>&amp;L&amp;"Times New Roman,Regular"&amp;10&amp;F 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 topLeftCell="A1">
      <selection activeCell="A1" sqref="A1:T1"/>
    </sheetView>
  </sheetViews>
  <sheetFormatPr defaultColWidth="8.796875" defaultRowHeight="15"/>
  <cols>
    <col min="1" max="1" width="4.59765625" style="2" customWidth="1"/>
    <col min="2" max="4" width="9" style="2" customWidth="1"/>
    <col min="5" max="5" width="11" style="2" customWidth="1"/>
    <col min="6" max="22" width="12.59765625" style="2" customWidth="1"/>
    <col min="23" max="16384" width="9" style="2" customWidth="1"/>
  </cols>
  <sheetData>
    <row r="1" spans="1:20" ht="15.75">
      <c r="A1" s="521" t="s">
        <v>85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</row>
    <row r="2" spans="1:20" ht="15.75">
      <c r="A2" s="521" t="s">
        <v>118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ht="15.75">
      <c r="A3" s="522" t="str">
        <f>'Cost of Cap. (page 1)'!A7</f>
        <v>Cause No. ____________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61"/>
      <c r="V3" s="61"/>
    </row>
    <row r="4" ht="15.75">
      <c r="A4" s="55">
        <v>1</v>
      </c>
    </row>
    <row r="5" ht="15.75">
      <c r="A5" s="55">
        <v>2</v>
      </c>
    </row>
    <row r="6" spans="1:22" ht="15.75">
      <c r="A6" s="55">
        <v>3</v>
      </c>
      <c r="B6" s="53" t="s">
        <v>120</v>
      </c>
      <c r="F6" s="59">
        <v>37132</v>
      </c>
      <c r="G6" s="59">
        <v>37152</v>
      </c>
      <c r="H6" s="59">
        <v>37153</v>
      </c>
      <c r="I6" s="59">
        <v>37154</v>
      </c>
      <c r="J6" s="59">
        <v>37155</v>
      </c>
      <c r="K6" s="57">
        <v>37265</v>
      </c>
      <c r="L6" s="57">
        <v>37405</v>
      </c>
      <c r="M6" s="57">
        <v>37424</v>
      </c>
      <c r="N6" s="57">
        <v>37496</v>
      </c>
      <c r="O6" s="57">
        <v>37510</v>
      </c>
      <c r="P6" s="57">
        <v>37600</v>
      </c>
      <c r="Q6" s="57">
        <v>37662</v>
      </c>
      <c r="R6" s="57">
        <v>37851</v>
      </c>
      <c r="S6" s="57">
        <v>37852</v>
      </c>
      <c r="T6" s="57">
        <v>37858</v>
      </c>
      <c r="U6" s="57">
        <v>37859</v>
      </c>
      <c r="V6" s="57">
        <v>38275</v>
      </c>
    </row>
    <row r="7" spans="1:22" ht="15.75">
      <c r="A7" s="55">
        <v>4</v>
      </c>
      <c r="B7" s="53" t="s">
        <v>70</v>
      </c>
      <c r="F7" s="126">
        <v>1630687.48</v>
      </c>
      <c r="G7" s="126">
        <v>7000000</v>
      </c>
      <c r="H7" s="126">
        <v>1000000</v>
      </c>
      <c r="I7" s="126">
        <v>8000000</v>
      </c>
      <c r="J7" s="126">
        <v>3000000</v>
      </c>
      <c r="K7" s="127">
        <v>10000000</v>
      </c>
      <c r="L7" s="127">
        <v>30000000</v>
      </c>
      <c r="M7" s="127">
        <v>20000000</v>
      </c>
      <c r="N7" s="127">
        <v>27000000</v>
      </c>
      <c r="O7" s="127">
        <v>5000000</v>
      </c>
      <c r="P7" s="127">
        <v>25000000</v>
      </c>
      <c r="Q7" s="127">
        <v>30000000</v>
      </c>
      <c r="R7" s="127">
        <v>5000000</v>
      </c>
      <c r="S7" s="127">
        <v>1500000</v>
      </c>
      <c r="T7" s="127">
        <v>1500000</v>
      </c>
      <c r="U7" s="127">
        <v>20000000</v>
      </c>
      <c r="V7" s="127">
        <v>37337004.02</v>
      </c>
    </row>
    <row r="8" spans="1:22" ht="15.75">
      <c r="A8" s="55">
        <v>5</v>
      </c>
      <c r="B8" s="53" t="s">
        <v>99</v>
      </c>
      <c r="F8" s="60">
        <f>'Conservation 1997 (page 7)'!E12</f>
        <v>0.0788</v>
      </c>
      <c r="G8" s="60">
        <f>'Cost of Debt (page 3&amp;4) '!I27</f>
        <v>0.0866</v>
      </c>
      <c r="H8" s="60">
        <f>'Cost of Debt (page 3&amp;4) '!I28</f>
        <v>0.087</v>
      </c>
      <c r="I8" s="60">
        <f>'Cost of Debt (page 3&amp;4) '!I29</f>
        <v>0.0869</v>
      </c>
      <c r="J8" s="60">
        <f>'Cost of Debt (page 3&amp;4) '!I30</f>
        <v>0.0867</v>
      </c>
      <c r="K8" s="58">
        <f>'Cost of Debt (page 3&amp;4) '!I31</f>
        <v>0.0767</v>
      </c>
      <c r="L8" s="58">
        <f>'Cost of Debt (page 3&amp;4) '!I15</f>
        <v>0.0796</v>
      </c>
      <c r="M8" s="58">
        <f>'Cost of Debt (page 3&amp;4) '!I34</f>
        <v>0.0806</v>
      </c>
      <c r="N8" s="58">
        <f>'Cost of Debt (page 3&amp;4) '!I17</f>
        <v>0.0717</v>
      </c>
      <c r="O8" s="58">
        <f>'Cost of Debt (page 3&amp;4) '!I18</f>
        <v>0.0725</v>
      </c>
      <c r="P8" s="58">
        <f>'Cost of Debt (page 3&amp;4) '!I19</f>
        <v>0.0775</v>
      </c>
      <c r="Q8" s="58">
        <f>'Cost of Debt (page 3&amp;4) '!I22</f>
        <v>0.0713</v>
      </c>
      <c r="R8" s="58">
        <f>'Cost of Debt (page 3&amp;4) '!I38</f>
        <v>0.0643</v>
      </c>
      <c r="S8" s="58">
        <f>'Cost of Debt (page 3&amp;4) '!I36</f>
        <v>0.0636</v>
      </c>
      <c r="T8" s="58">
        <f>'Cost of Debt (page 3&amp;4) '!I39</f>
        <v>0.0635</v>
      </c>
      <c r="U8" s="58">
        <f>'Cost of Debt (page 3&amp;4) '!I41</f>
        <v>0.0642</v>
      </c>
      <c r="V8" s="58">
        <f>'Conservation 1995 (page 6)'!E12</f>
        <v>0.0713</v>
      </c>
    </row>
    <row r="9" spans="1:22" ht="15.75">
      <c r="A9" s="55">
        <v>6</v>
      </c>
      <c r="B9" s="53" t="s">
        <v>100</v>
      </c>
      <c r="F9" s="126">
        <f aca="true" t="shared" si="0" ref="F9:V9">F7*F8</f>
        <v>128498.173424</v>
      </c>
      <c r="G9" s="126">
        <f t="shared" si="0"/>
        <v>606200</v>
      </c>
      <c r="H9" s="126">
        <f t="shared" si="0"/>
        <v>87000</v>
      </c>
      <c r="I9" s="126">
        <f t="shared" si="0"/>
        <v>695200</v>
      </c>
      <c r="J9" s="126">
        <f t="shared" si="0"/>
        <v>260100</v>
      </c>
      <c r="K9" s="127">
        <f t="shared" si="0"/>
        <v>767000</v>
      </c>
      <c r="L9" s="127">
        <f t="shared" si="0"/>
        <v>2388000</v>
      </c>
      <c r="M9" s="127">
        <f t="shared" si="0"/>
        <v>1612000</v>
      </c>
      <c r="N9" s="127">
        <f t="shared" si="0"/>
        <v>1935900</v>
      </c>
      <c r="O9" s="127">
        <f t="shared" si="0"/>
        <v>362500</v>
      </c>
      <c r="P9" s="127">
        <f t="shared" si="0"/>
        <v>1937500</v>
      </c>
      <c r="Q9" s="127">
        <f t="shared" si="0"/>
        <v>2139000</v>
      </c>
      <c r="R9" s="127">
        <f t="shared" si="0"/>
        <v>321500</v>
      </c>
      <c r="S9" s="127">
        <f t="shared" si="0"/>
        <v>95400</v>
      </c>
      <c r="T9" s="127">
        <f t="shared" si="0"/>
        <v>95250</v>
      </c>
      <c r="U9" s="127">
        <f t="shared" si="0"/>
        <v>1283999.9999999998</v>
      </c>
      <c r="V9" s="127">
        <f t="shared" si="0"/>
        <v>2662128.3866260005</v>
      </c>
    </row>
    <row r="10" spans="1:10" ht="15.75">
      <c r="A10" s="55">
        <v>7</v>
      </c>
      <c r="F10" s="61"/>
      <c r="G10" s="61"/>
      <c r="H10" s="61"/>
      <c r="I10" s="61"/>
      <c r="J10" s="61"/>
    </row>
    <row r="11" spans="1:10" ht="15.75">
      <c r="A11" s="55">
        <v>8</v>
      </c>
      <c r="C11" s="56" t="s">
        <v>101</v>
      </c>
      <c r="F11" s="61"/>
      <c r="G11" s="61"/>
      <c r="H11" s="61"/>
      <c r="I11" s="61"/>
      <c r="J11" s="61"/>
    </row>
    <row r="12" spans="1:22" ht="15.75">
      <c r="A12" s="55">
        <v>9</v>
      </c>
      <c r="C12" s="54">
        <v>37500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25000000</v>
      </c>
      <c r="Q12" s="127">
        <v>30000000</v>
      </c>
      <c r="R12" s="127">
        <v>5000000</v>
      </c>
      <c r="S12" s="127">
        <v>1500000</v>
      </c>
      <c r="T12" s="127">
        <v>1500000</v>
      </c>
      <c r="U12" s="127">
        <v>20000000</v>
      </c>
      <c r="V12" s="127">
        <v>17528547</v>
      </c>
    </row>
    <row r="13" spans="1:22" ht="15.75">
      <c r="A13" s="55">
        <v>10</v>
      </c>
      <c r="C13" s="54">
        <v>37530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25000000</v>
      </c>
      <c r="Q13" s="127">
        <v>30000000</v>
      </c>
      <c r="R13" s="127">
        <v>5000000</v>
      </c>
      <c r="S13" s="127">
        <v>1500000</v>
      </c>
      <c r="T13" s="127">
        <v>1500000</v>
      </c>
      <c r="U13" s="127">
        <v>20000000</v>
      </c>
      <c r="V13" s="127">
        <v>16558552</v>
      </c>
    </row>
    <row r="14" spans="1:22" ht="15.75">
      <c r="A14" s="55">
        <v>11</v>
      </c>
      <c r="C14" s="54">
        <v>37561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25000000</v>
      </c>
      <c r="Q14" s="127">
        <v>30000000</v>
      </c>
      <c r="R14" s="127">
        <v>5000000</v>
      </c>
      <c r="S14" s="127">
        <v>1500000</v>
      </c>
      <c r="T14" s="127">
        <v>1500000</v>
      </c>
      <c r="U14" s="127">
        <v>20000000</v>
      </c>
      <c r="V14" s="127">
        <v>15588558</v>
      </c>
    </row>
    <row r="15" spans="1:22" ht="15.75">
      <c r="A15" s="55">
        <v>12</v>
      </c>
      <c r="C15" s="54">
        <v>37591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30000000</v>
      </c>
      <c r="R15" s="127">
        <v>5000000</v>
      </c>
      <c r="S15" s="127">
        <v>1500000</v>
      </c>
      <c r="T15" s="127">
        <v>1500000</v>
      </c>
      <c r="U15" s="127">
        <v>20000000</v>
      </c>
      <c r="V15" s="127">
        <v>14618563</v>
      </c>
    </row>
    <row r="16" spans="1:22" ht="15.75">
      <c r="A16" s="55">
        <v>13</v>
      </c>
      <c r="C16" s="54">
        <v>37622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30000000</v>
      </c>
      <c r="R16" s="127">
        <v>5000000</v>
      </c>
      <c r="S16" s="127">
        <v>1500000</v>
      </c>
      <c r="T16" s="127">
        <v>1500000</v>
      </c>
      <c r="U16" s="127">
        <v>20000000</v>
      </c>
      <c r="V16" s="127">
        <v>13646492</v>
      </c>
    </row>
    <row r="17" spans="1:22" ht="15.75">
      <c r="A17" s="55">
        <v>14</v>
      </c>
      <c r="C17" s="54">
        <v>37653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5000000</v>
      </c>
      <c r="S17" s="127">
        <v>1500000</v>
      </c>
      <c r="T17" s="127">
        <v>1500000</v>
      </c>
      <c r="U17" s="127">
        <v>20000000</v>
      </c>
      <c r="V17" s="127">
        <v>12674420</v>
      </c>
    </row>
    <row r="18" spans="1:22" ht="15.75">
      <c r="A18" s="55">
        <v>15</v>
      </c>
      <c r="C18" s="54">
        <v>37681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5000000</v>
      </c>
      <c r="S18" s="127">
        <v>1500000</v>
      </c>
      <c r="T18" s="127">
        <v>1500000</v>
      </c>
      <c r="U18" s="127">
        <v>20000000</v>
      </c>
      <c r="V18" s="127">
        <v>11702349</v>
      </c>
    </row>
    <row r="19" spans="1:22" ht="15.75">
      <c r="A19" s="55">
        <v>16</v>
      </c>
      <c r="C19" s="54">
        <v>37712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5000000</v>
      </c>
      <c r="S19" s="127">
        <v>1500000</v>
      </c>
      <c r="T19" s="127">
        <v>1500000</v>
      </c>
      <c r="U19" s="127">
        <v>20000000</v>
      </c>
      <c r="V19" s="127">
        <v>10710864</v>
      </c>
    </row>
    <row r="20" spans="1:22" ht="15.75">
      <c r="A20" s="55">
        <v>17</v>
      </c>
      <c r="C20" s="54">
        <v>37742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5000000</v>
      </c>
      <c r="S20" s="127">
        <v>1500000</v>
      </c>
      <c r="T20" s="127">
        <v>1500000</v>
      </c>
      <c r="U20" s="127">
        <v>20000000</v>
      </c>
      <c r="V20" s="127">
        <v>9719380</v>
      </c>
    </row>
    <row r="21" spans="1:22" ht="15.75">
      <c r="A21" s="55">
        <v>18</v>
      </c>
      <c r="C21" s="54">
        <v>37773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5000000</v>
      </c>
      <c r="S21" s="127">
        <v>1500000</v>
      </c>
      <c r="T21" s="127">
        <v>1500000</v>
      </c>
      <c r="U21" s="127">
        <v>20000000</v>
      </c>
      <c r="V21" s="127">
        <v>8727895</v>
      </c>
    </row>
    <row r="22" spans="1:22" ht="15.75">
      <c r="A22" s="55">
        <v>19</v>
      </c>
      <c r="C22" s="54">
        <v>37803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5000000</v>
      </c>
      <c r="S22" s="127">
        <v>1500000</v>
      </c>
      <c r="T22" s="127">
        <v>1500000</v>
      </c>
      <c r="U22" s="127">
        <v>20000000</v>
      </c>
      <c r="V22" s="451">
        <v>7716033</v>
      </c>
    </row>
    <row r="23" spans="1:22" ht="15.75">
      <c r="A23" s="55">
        <v>20</v>
      </c>
      <c r="C23" s="54">
        <v>37834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451">
        <v>6704172</v>
      </c>
    </row>
    <row r="24" spans="1:22" ht="15.75">
      <c r="A24" s="55">
        <v>21</v>
      </c>
      <c r="C24" s="54">
        <v>37865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5692310</v>
      </c>
    </row>
    <row r="25" spans="1:22" ht="21" customHeight="1">
      <c r="A25" s="55">
        <v>22</v>
      </c>
      <c r="C25" s="53" t="s">
        <v>102</v>
      </c>
      <c r="F25" s="130">
        <f aca="true" t="shared" si="1" ref="F25:V25">ROUND(((F12+F24)+(SUM(F13:F23)*2))/24,0)</f>
        <v>0</v>
      </c>
      <c r="G25" s="130">
        <f t="shared" si="1"/>
        <v>0</v>
      </c>
      <c r="H25" s="130">
        <f t="shared" si="1"/>
        <v>0</v>
      </c>
      <c r="I25" s="130">
        <f t="shared" si="1"/>
        <v>0</v>
      </c>
      <c r="J25" s="130">
        <f t="shared" si="1"/>
        <v>0</v>
      </c>
      <c r="K25" s="131">
        <f t="shared" si="1"/>
        <v>0</v>
      </c>
      <c r="L25" s="131">
        <f t="shared" si="1"/>
        <v>0</v>
      </c>
      <c r="M25" s="131">
        <f t="shared" si="1"/>
        <v>0</v>
      </c>
      <c r="N25" s="131">
        <f t="shared" si="1"/>
        <v>0</v>
      </c>
      <c r="O25" s="131">
        <f t="shared" si="1"/>
        <v>0</v>
      </c>
      <c r="P25" s="131">
        <f t="shared" si="1"/>
        <v>5208333</v>
      </c>
      <c r="Q25" s="131">
        <f t="shared" si="1"/>
        <v>11250000</v>
      </c>
      <c r="R25" s="131">
        <f t="shared" si="1"/>
        <v>4375000</v>
      </c>
      <c r="S25" s="131">
        <f t="shared" si="1"/>
        <v>1312500</v>
      </c>
      <c r="T25" s="131">
        <f t="shared" si="1"/>
        <v>1312500</v>
      </c>
      <c r="U25" s="131">
        <f t="shared" si="1"/>
        <v>17500000</v>
      </c>
      <c r="V25" s="131">
        <f t="shared" si="1"/>
        <v>11664809</v>
      </c>
    </row>
    <row r="26" spans="1:22" ht="15.75">
      <c r="A26" s="55">
        <v>23</v>
      </c>
      <c r="F26" s="130"/>
      <c r="G26" s="130"/>
      <c r="H26" s="130"/>
      <c r="I26" s="130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</row>
    <row r="27" spans="1:22" ht="15.75">
      <c r="A27" s="55">
        <v>24</v>
      </c>
      <c r="F27" s="130"/>
      <c r="G27" s="130"/>
      <c r="H27" s="130"/>
      <c r="I27" s="130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</row>
    <row r="28" spans="1:22" ht="15.75">
      <c r="A28" s="55">
        <v>25</v>
      </c>
      <c r="B28" s="53" t="s">
        <v>103</v>
      </c>
      <c r="F28" s="130">
        <f aca="true" t="shared" si="2" ref="F28:K28">F7</f>
        <v>1630687.48</v>
      </c>
      <c r="G28" s="130">
        <f t="shared" si="2"/>
        <v>7000000</v>
      </c>
      <c r="H28" s="130">
        <f t="shared" si="2"/>
        <v>1000000</v>
      </c>
      <c r="I28" s="130">
        <f t="shared" si="2"/>
        <v>8000000</v>
      </c>
      <c r="J28" s="130">
        <f t="shared" si="2"/>
        <v>3000000</v>
      </c>
      <c r="K28" s="131">
        <f t="shared" si="2"/>
        <v>10000000</v>
      </c>
      <c r="L28" s="131">
        <f aca="true" t="shared" si="3" ref="L28:U28">L7</f>
        <v>30000000</v>
      </c>
      <c r="M28" s="131">
        <f t="shared" si="3"/>
        <v>20000000</v>
      </c>
      <c r="N28" s="131">
        <f t="shared" si="3"/>
        <v>27000000</v>
      </c>
      <c r="O28" s="131">
        <f t="shared" si="3"/>
        <v>5000000</v>
      </c>
      <c r="P28" s="131">
        <f t="shared" si="3"/>
        <v>25000000</v>
      </c>
      <c r="Q28" s="131">
        <f t="shared" si="3"/>
        <v>30000000</v>
      </c>
      <c r="R28" s="131">
        <f t="shared" si="3"/>
        <v>5000000</v>
      </c>
      <c r="S28" s="131">
        <f t="shared" si="3"/>
        <v>1500000</v>
      </c>
      <c r="T28" s="131">
        <f t="shared" si="3"/>
        <v>1500000</v>
      </c>
      <c r="U28" s="131">
        <f t="shared" si="3"/>
        <v>20000000</v>
      </c>
      <c r="V28" s="131">
        <f>V7</f>
        <v>37337004.02</v>
      </c>
    </row>
    <row r="29" spans="1:22" ht="15.75">
      <c r="A29" s="55">
        <v>26</v>
      </c>
      <c r="B29" s="53" t="s">
        <v>104</v>
      </c>
      <c r="F29" s="132">
        <f aca="true" t="shared" si="4" ref="F29:K29">F25</f>
        <v>0</v>
      </c>
      <c r="G29" s="132">
        <f t="shared" si="4"/>
        <v>0</v>
      </c>
      <c r="H29" s="132">
        <f t="shared" si="4"/>
        <v>0</v>
      </c>
      <c r="I29" s="132">
        <f t="shared" si="4"/>
        <v>0</v>
      </c>
      <c r="J29" s="132">
        <f t="shared" si="4"/>
        <v>0</v>
      </c>
      <c r="K29" s="133">
        <f t="shared" si="4"/>
        <v>0</v>
      </c>
      <c r="L29" s="133">
        <f aca="true" t="shared" si="5" ref="L29:U29">L25</f>
        <v>0</v>
      </c>
      <c r="M29" s="133">
        <f t="shared" si="5"/>
        <v>0</v>
      </c>
      <c r="N29" s="133">
        <f t="shared" si="5"/>
        <v>0</v>
      </c>
      <c r="O29" s="133">
        <f t="shared" si="5"/>
        <v>0</v>
      </c>
      <c r="P29" s="133">
        <f t="shared" si="5"/>
        <v>5208333</v>
      </c>
      <c r="Q29" s="133">
        <f t="shared" si="5"/>
        <v>11250000</v>
      </c>
      <c r="R29" s="133">
        <f t="shared" si="5"/>
        <v>4375000</v>
      </c>
      <c r="S29" s="133">
        <f t="shared" si="5"/>
        <v>1312500</v>
      </c>
      <c r="T29" s="133">
        <f t="shared" si="5"/>
        <v>1312500</v>
      </c>
      <c r="U29" s="133">
        <f t="shared" si="5"/>
        <v>17500000</v>
      </c>
      <c r="V29" s="133">
        <f>V25</f>
        <v>11664809</v>
      </c>
    </row>
    <row r="30" spans="1:22" ht="16.5" thickBot="1">
      <c r="A30" s="55">
        <v>27</v>
      </c>
      <c r="B30" s="29" t="s">
        <v>105</v>
      </c>
      <c r="C30" s="29"/>
      <c r="D30" s="29"/>
      <c r="E30" s="29"/>
      <c r="F30" s="424">
        <f aca="true" t="shared" si="6" ref="F30:V30">F28-F29</f>
        <v>1630687.48</v>
      </c>
      <c r="G30" s="424">
        <f t="shared" si="6"/>
        <v>7000000</v>
      </c>
      <c r="H30" s="424">
        <f t="shared" si="6"/>
        <v>1000000</v>
      </c>
      <c r="I30" s="424">
        <f t="shared" si="6"/>
        <v>8000000</v>
      </c>
      <c r="J30" s="424">
        <f t="shared" si="6"/>
        <v>3000000</v>
      </c>
      <c r="K30" s="425">
        <f t="shared" si="6"/>
        <v>10000000</v>
      </c>
      <c r="L30" s="425">
        <f t="shared" si="6"/>
        <v>30000000</v>
      </c>
      <c r="M30" s="425">
        <f t="shared" si="6"/>
        <v>20000000</v>
      </c>
      <c r="N30" s="425">
        <f t="shared" si="6"/>
        <v>27000000</v>
      </c>
      <c r="O30" s="425">
        <f t="shared" si="6"/>
        <v>5000000</v>
      </c>
      <c r="P30" s="425">
        <f t="shared" si="6"/>
        <v>19791667</v>
      </c>
      <c r="Q30" s="425">
        <f t="shared" si="6"/>
        <v>18750000</v>
      </c>
      <c r="R30" s="425">
        <f t="shared" si="6"/>
        <v>625000</v>
      </c>
      <c r="S30" s="425">
        <f t="shared" si="6"/>
        <v>187500</v>
      </c>
      <c r="T30" s="425">
        <f t="shared" si="6"/>
        <v>187500</v>
      </c>
      <c r="U30" s="425">
        <f t="shared" si="6"/>
        <v>2500000</v>
      </c>
      <c r="V30" s="425">
        <f t="shared" si="6"/>
        <v>25672195.020000003</v>
      </c>
    </row>
    <row r="31" spans="1:22" ht="16.5" thickTop="1">
      <c r="A31" s="55">
        <v>28</v>
      </c>
      <c r="F31" s="130"/>
      <c r="G31" s="130"/>
      <c r="H31" s="130"/>
      <c r="I31" s="130"/>
      <c r="J31" s="130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</row>
    <row r="32" spans="1:22" ht="15.75">
      <c r="A32" s="55">
        <v>29</v>
      </c>
      <c r="B32" s="53" t="s">
        <v>106</v>
      </c>
      <c r="F32" s="130">
        <f aca="true" t="shared" si="7" ref="F32:K32">F9</f>
        <v>128498.173424</v>
      </c>
      <c r="G32" s="130">
        <f t="shared" si="7"/>
        <v>606200</v>
      </c>
      <c r="H32" s="130">
        <f t="shared" si="7"/>
        <v>87000</v>
      </c>
      <c r="I32" s="130">
        <f t="shared" si="7"/>
        <v>695200</v>
      </c>
      <c r="J32" s="130">
        <f t="shared" si="7"/>
        <v>260100</v>
      </c>
      <c r="K32" s="131">
        <f t="shared" si="7"/>
        <v>767000</v>
      </c>
      <c r="L32" s="131">
        <f aca="true" t="shared" si="8" ref="L32:U32">L9</f>
        <v>2388000</v>
      </c>
      <c r="M32" s="131">
        <f t="shared" si="8"/>
        <v>1612000</v>
      </c>
      <c r="N32" s="131">
        <f t="shared" si="8"/>
        <v>1935900</v>
      </c>
      <c r="O32" s="131">
        <f t="shared" si="8"/>
        <v>362500</v>
      </c>
      <c r="P32" s="131">
        <f t="shared" si="8"/>
        <v>1937500</v>
      </c>
      <c r="Q32" s="131">
        <f t="shared" si="8"/>
        <v>2139000</v>
      </c>
      <c r="R32" s="131">
        <f t="shared" si="8"/>
        <v>321500</v>
      </c>
      <c r="S32" s="131">
        <f t="shared" si="8"/>
        <v>95400</v>
      </c>
      <c r="T32" s="131">
        <f t="shared" si="8"/>
        <v>95250</v>
      </c>
      <c r="U32" s="131">
        <f t="shared" si="8"/>
        <v>1283999.9999999998</v>
      </c>
      <c r="V32" s="131">
        <f>V9</f>
        <v>2662128.3866260005</v>
      </c>
    </row>
    <row r="33" spans="1:22" ht="15.75">
      <c r="A33" s="55">
        <v>30</v>
      </c>
      <c r="B33" s="53" t="s">
        <v>119</v>
      </c>
      <c r="F33" s="126">
        <f aca="true" t="shared" si="9" ref="F33:K33">F29*F8</f>
        <v>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7">
        <f t="shared" si="9"/>
        <v>0</v>
      </c>
      <c r="L33" s="127">
        <f aca="true" t="shared" si="10" ref="L33:U33">L29*L8</f>
        <v>0</v>
      </c>
      <c r="M33" s="127">
        <f t="shared" si="10"/>
        <v>0</v>
      </c>
      <c r="N33" s="127">
        <f t="shared" si="10"/>
        <v>0</v>
      </c>
      <c r="O33" s="127">
        <f t="shared" si="10"/>
        <v>0</v>
      </c>
      <c r="P33" s="127">
        <f t="shared" si="10"/>
        <v>403645.8075</v>
      </c>
      <c r="Q33" s="127">
        <f t="shared" si="10"/>
        <v>802125</v>
      </c>
      <c r="R33" s="127">
        <f t="shared" si="10"/>
        <v>281312.5</v>
      </c>
      <c r="S33" s="127">
        <f t="shared" si="10"/>
        <v>83475</v>
      </c>
      <c r="T33" s="127">
        <f t="shared" si="10"/>
        <v>83343.75</v>
      </c>
      <c r="U33" s="127">
        <f t="shared" si="10"/>
        <v>1123499.9999999998</v>
      </c>
      <c r="V33" s="127">
        <f>V29*V8</f>
        <v>831700.8817</v>
      </c>
    </row>
    <row r="34" spans="1:22" ht="16.5" thickBot="1">
      <c r="A34" s="55">
        <v>31</v>
      </c>
      <c r="B34" s="29" t="s">
        <v>107</v>
      </c>
      <c r="C34" s="29"/>
      <c r="D34" s="29"/>
      <c r="E34" s="29"/>
      <c r="F34" s="424">
        <f aca="true" t="shared" si="11" ref="F34:V34">F32-F33</f>
        <v>128498.173424</v>
      </c>
      <c r="G34" s="424">
        <f t="shared" si="11"/>
        <v>606200</v>
      </c>
      <c r="H34" s="424">
        <f t="shared" si="11"/>
        <v>87000</v>
      </c>
      <c r="I34" s="424">
        <f t="shared" si="11"/>
        <v>695200</v>
      </c>
      <c r="J34" s="424">
        <f t="shared" si="11"/>
        <v>260100</v>
      </c>
      <c r="K34" s="425">
        <f t="shared" si="11"/>
        <v>767000</v>
      </c>
      <c r="L34" s="425">
        <f t="shared" si="11"/>
        <v>2388000</v>
      </c>
      <c r="M34" s="425">
        <f t="shared" si="11"/>
        <v>1612000</v>
      </c>
      <c r="N34" s="425">
        <f t="shared" si="11"/>
        <v>1935900</v>
      </c>
      <c r="O34" s="425">
        <f t="shared" si="11"/>
        <v>362500</v>
      </c>
      <c r="P34" s="425">
        <f t="shared" si="11"/>
        <v>1533854.1925</v>
      </c>
      <c r="Q34" s="425">
        <f t="shared" si="11"/>
        <v>1336875</v>
      </c>
      <c r="R34" s="425">
        <f t="shared" si="11"/>
        <v>40187.5</v>
      </c>
      <c r="S34" s="425">
        <f t="shared" si="11"/>
        <v>11925</v>
      </c>
      <c r="T34" s="425">
        <f t="shared" si="11"/>
        <v>11906.25</v>
      </c>
      <c r="U34" s="425">
        <f t="shared" si="11"/>
        <v>160500</v>
      </c>
      <c r="V34" s="425">
        <f t="shared" si="11"/>
        <v>1830427.5049260005</v>
      </c>
    </row>
    <row r="35" ht="16.5" thickTop="1"/>
  </sheetData>
  <mergeCells count="3">
    <mergeCell ref="A1:T1"/>
    <mergeCell ref="A2:T2"/>
    <mergeCell ref="A3:T3"/>
  </mergeCells>
  <printOptions horizontalCentered="1"/>
  <pageMargins left="0.25" right="0.25" top="1" bottom="1" header="0.5" footer="0.5"/>
  <pageSetup fitToHeight="1" fitToWidth="1" horizontalDpi="600" verticalDpi="600" orientation="landscape" scale="48" r:id="rId1"/>
  <headerFooter alignWithMargins="0">
    <oddHeader>&amp;R&amp;"Times New Roman,Regular"Page 9</oddHeader>
    <oddFooter>&amp;L&amp;"Times New Roman,Regular"&amp;10&amp;F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E25">
      <selection activeCell="K31" sqref="K31"/>
    </sheetView>
  </sheetViews>
  <sheetFormatPr defaultColWidth="8.796875" defaultRowHeight="15"/>
  <cols>
    <col min="1" max="1" width="4.59765625" style="2" customWidth="1"/>
    <col min="2" max="4" width="9" style="2" customWidth="1"/>
    <col min="5" max="7" width="11" style="2" customWidth="1"/>
    <col min="8" max="12" width="12.59765625" style="2" customWidth="1"/>
    <col min="13" max="23" width="12.59765625" style="30" customWidth="1"/>
    <col min="24" max="16384" width="9" style="2" customWidth="1"/>
  </cols>
  <sheetData>
    <row r="1" spans="1:11" ht="15.75">
      <c r="A1" s="520" t="s">
        <v>85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23" s="61" customFormat="1" ht="15.75">
      <c r="A2" s="522" t="s">
        <v>237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1:11" ht="15.75">
      <c r="A3" s="521" t="s">
        <v>87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5.75">
      <c r="A4" s="55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.75">
      <c r="A5" s="55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.75">
      <c r="A6" s="55">
        <v>3</v>
      </c>
      <c r="B6" s="53" t="s">
        <v>227</v>
      </c>
      <c r="F6" s="55" t="s">
        <v>225</v>
      </c>
      <c r="G6" s="55" t="s">
        <v>225</v>
      </c>
      <c r="H6" s="55" t="s">
        <v>226</v>
      </c>
      <c r="I6" s="55" t="s">
        <v>226</v>
      </c>
      <c r="J6" s="55" t="s">
        <v>225</v>
      </c>
      <c r="K6" s="55" t="s">
        <v>226</v>
      </c>
    </row>
    <row r="7" spans="1:11" ht="15.75">
      <c r="A7" s="55">
        <v>4</v>
      </c>
      <c r="B7" s="53" t="s">
        <v>224</v>
      </c>
      <c r="F7" s="57">
        <v>44573</v>
      </c>
      <c r="G7" s="57">
        <v>44574</v>
      </c>
      <c r="H7" s="57">
        <v>41008</v>
      </c>
      <c r="I7" s="57">
        <v>39209</v>
      </c>
      <c r="J7" s="57">
        <v>44785</v>
      </c>
      <c r="K7" s="57">
        <v>41264</v>
      </c>
    </row>
    <row r="8" spans="1:23" s="61" customFormat="1" ht="15.75">
      <c r="A8" s="455">
        <v>5</v>
      </c>
      <c r="B8" s="456" t="s">
        <v>223</v>
      </c>
      <c r="F8" s="59">
        <v>37271</v>
      </c>
      <c r="G8" s="59">
        <v>37271</v>
      </c>
      <c r="H8" s="59">
        <v>37355</v>
      </c>
      <c r="I8" s="59">
        <v>37377</v>
      </c>
      <c r="J8" s="59">
        <v>37482</v>
      </c>
      <c r="K8" s="59">
        <v>37611</v>
      </c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</row>
    <row r="9" spans="1:23" ht="15.75">
      <c r="A9" s="55">
        <v>6</v>
      </c>
      <c r="B9" s="53" t="s">
        <v>70</v>
      </c>
      <c r="F9" s="126">
        <v>3000000</v>
      </c>
      <c r="G9" s="126">
        <v>7000000</v>
      </c>
      <c r="H9" s="126">
        <v>5000000</v>
      </c>
      <c r="I9" s="126">
        <v>10000000</v>
      </c>
      <c r="J9" s="127">
        <v>25000000</v>
      </c>
      <c r="K9" s="126">
        <v>30000000</v>
      </c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</row>
    <row r="10" spans="1:23" ht="15.75">
      <c r="A10" s="55">
        <v>7</v>
      </c>
      <c r="B10" s="53" t="s">
        <v>99</v>
      </c>
      <c r="F10" s="60">
        <f>'Cost of Debt (page 3&amp;4) '!I33</f>
        <v>0.085</v>
      </c>
      <c r="G10" s="60">
        <f>'Cost of Debt (page 3&amp;4) '!I32</f>
        <v>0.0849</v>
      </c>
      <c r="H10" s="60">
        <f>'Cost of Debt (page 3&amp;4) '!I13</f>
        <v>0.0868</v>
      </c>
      <c r="I10" s="60">
        <f>'Cost of Debt (page 3&amp;4) '!I14</f>
        <v>0.085</v>
      </c>
      <c r="J10" s="58">
        <f>'Cost of Debt (page 3&amp;4) '!I35</f>
        <v>0.0835</v>
      </c>
      <c r="K10" s="60">
        <f>'Cost of Debt (page 3&amp;4) '!I21</f>
        <v>0.0829</v>
      </c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</row>
    <row r="11" spans="1:23" ht="15.75">
      <c r="A11" s="55">
        <v>8</v>
      </c>
      <c r="B11" s="53" t="s">
        <v>100</v>
      </c>
      <c r="F11" s="126">
        <f aca="true" t="shared" si="0" ref="F11:K11">F9*F10</f>
        <v>255000.00000000003</v>
      </c>
      <c r="G11" s="126">
        <f t="shared" si="0"/>
        <v>594300</v>
      </c>
      <c r="H11" s="126">
        <f t="shared" si="0"/>
        <v>434000</v>
      </c>
      <c r="I11" s="126">
        <f t="shared" si="0"/>
        <v>850000.0000000001</v>
      </c>
      <c r="J11" s="127">
        <f t="shared" si="0"/>
        <v>2087500.0000000002</v>
      </c>
      <c r="K11" s="126">
        <f t="shared" si="0"/>
        <v>2487000</v>
      </c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</row>
    <row r="12" spans="1:11" ht="15.75">
      <c r="A12" s="55">
        <v>9</v>
      </c>
      <c r="F12" s="61"/>
      <c r="G12" s="61"/>
      <c r="H12" s="61"/>
      <c r="I12" s="61"/>
      <c r="K12" s="61"/>
    </row>
    <row r="13" spans="1:11" ht="15.75">
      <c r="A13" s="55">
        <v>10</v>
      </c>
      <c r="C13" s="56" t="s">
        <v>101</v>
      </c>
      <c r="F13" s="61"/>
      <c r="G13" s="61"/>
      <c r="H13" s="61"/>
      <c r="I13" s="61"/>
      <c r="K13" s="61"/>
    </row>
    <row r="14" spans="1:23" ht="15.75">
      <c r="A14" s="55">
        <v>11</v>
      </c>
      <c r="C14" s="54">
        <v>37500</v>
      </c>
      <c r="F14" s="126">
        <v>0</v>
      </c>
      <c r="G14" s="126">
        <v>0</v>
      </c>
      <c r="H14" s="126">
        <v>0</v>
      </c>
      <c r="I14" s="126">
        <v>0</v>
      </c>
      <c r="J14" s="127">
        <v>0</v>
      </c>
      <c r="K14" s="126">
        <v>30000000</v>
      </c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373"/>
    </row>
    <row r="15" spans="1:23" ht="15.75">
      <c r="A15" s="55">
        <v>12</v>
      </c>
      <c r="C15" s="54">
        <v>37530</v>
      </c>
      <c r="F15" s="126">
        <v>0</v>
      </c>
      <c r="G15" s="126">
        <v>0</v>
      </c>
      <c r="H15" s="126">
        <v>0</v>
      </c>
      <c r="I15" s="126">
        <v>0</v>
      </c>
      <c r="J15" s="127">
        <v>0</v>
      </c>
      <c r="K15" s="126">
        <v>30000000</v>
      </c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373"/>
    </row>
    <row r="16" spans="1:23" ht="15.75">
      <c r="A16" s="55">
        <v>13</v>
      </c>
      <c r="C16" s="54">
        <v>37561</v>
      </c>
      <c r="F16" s="126">
        <v>0</v>
      </c>
      <c r="G16" s="126">
        <v>0</v>
      </c>
      <c r="H16" s="126">
        <v>0</v>
      </c>
      <c r="I16" s="126">
        <v>0</v>
      </c>
      <c r="J16" s="127">
        <v>0</v>
      </c>
      <c r="K16" s="126">
        <v>30000000</v>
      </c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373"/>
    </row>
    <row r="17" spans="1:23" ht="15.75">
      <c r="A17" s="55">
        <v>14</v>
      </c>
      <c r="C17" s="54">
        <v>37591</v>
      </c>
      <c r="F17" s="126">
        <v>0</v>
      </c>
      <c r="G17" s="126">
        <v>0</v>
      </c>
      <c r="H17" s="126">
        <v>0</v>
      </c>
      <c r="I17" s="126">
        <v>0</v>
      </c>
      <c r="J17" s="127">
        <v>0</v>
      </c>
      <c r="K17" s="126">
        <v>0</v>
      </c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373"/>
    </row>
    <row r="18" spans="1:23" ht="15.75">
      <c r="A18" s="55">
        <v>15</v>
      </c>
      <c r="C18" s="54">
        <v>37622</v>
      </c>
      <c r="F18" s="126">
        <v>0</v>
      </c>
      <c r="G18" s="126">
        <v>0</v>
      </c>
      <c r="H18" s="126">
        <v>0</v>
      </c>
      <c r="I18" s="126">
        <v>0</v>
      </c>
      <c r="J18" s="127">
        <v>0</v>
      </c>
      <c r="K18" s="126">
        <v>0</v>
      </c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373"/>
    </row>
    <row r="19" spans="1:23" ht="15.75">
      <c r="A19" s="55">
        <v>16</v>
      </c>
      <c r="C19" s="54">
        <v>37653</v>
      </c>
      <c r="F19" s="126">
        <v>0</v>
      </c>
      <c r="G19" s="126">
        <v>0</v>
      </c>
      <c r="H19" s="126">
        <v>0</v>
      </c>
      <c r="I19" s="126">
        <v>0</v>
      </c>
      <c r="J19" s="127">
        <v>0</v>
      </c>
      <c r="K19" s="126">
        <v>0</v>
      </c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373"/>
    </row>
    <row r="20" spans="1:23" ht="15.75">
      <c r="A20" s="55">
        <v>17</v>
      </c>
      <c r="C20" s="54">
        <v>37681</v>
      </c>
      <c r="F20" s="126">
        <v>0</v>
      </c>
      <c r="G20" s="126">
        <v>0</v>
      </c>
      <c r="H20" s="126">
        <v>0</v>
      </c>
      <c r="I20" s="126">
        <v>0</v>
      </c>
      <c r="J20" s="127">
        <v>0</v>
      </c>
      <c r="K20" s="126">
        <v>0</v>
      </c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373"/>
    </row>
    <row r="21" spans="1:23" ht="15.75">
      <c r="A21" s="55">
        <v>18</v>
      </c>
      <c r="C21" s="54">
        <v>37712</v>
      </c>
      <c r="F21" s="126">
        <v>0</v>
      </c>
      <c r="G21" s="126">
        <v>0</v>
      </c>
      <c r="H21" s="126">
        <v>0</v>
      </c>
      <c r="I21" s="126">
        <v>0</v>
      </c>
      <c r="J21" s="127">
        <v>0</v>
      </c>
      <c r="K21" s="126">
        <v>0</v>
      </c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373"/>
    </row>
    <row r="22" spans="1:23" ht="15.75">
      <c r="A22" s="55">
        <v>19</v>
      </c>
      <c r="C22" s="54">
        <v>37742</v>
      </c>
      <c r="F22" s="126">
        <v>0</v>
      </c>
      <c r="G22" s="126">
        <v>0</v>
      </c>
      <c r="H22" s="126">
        <v>0</v>
      </c>
      <c r="I22" s="126">
        <v>0</v>
      </c>
      <c r="J22" s="127">
        <v>0</v>
      </c>
      <c r="K22" s="126">
        <v>0</v>
      </c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373"/>
    </row>
    <row r="23" spans="1:23" ht="15.75">
      <c r="A23" s="55">
        <v>20</v>
      </c>
      <c r="C23" s="54">
        <v>37773</v>
      </c>
      <c r="F23" s="126">
        <v>0</v>
      </c>
      <c r="G23" s="126">
        <v>0</v>
      </c>
      <c r="H23" s="126">
        <v>0</v>
      </c>
      <c r="I23" s="126">
        <v>0</v>
      </c>
      <c r="J23" s="127">
        <v>0</v>
      </c>
      <c r="K23" s="126">
        <v>0</v>
      </c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373"/>
    </row>
    <row r="24" spans="1:23" ht="15.75">
      <c r="A24" s="55">
        <v>21</v>
      </c>
      <c r="C24" s="54">
        <v>37803</v>
      </c>
      <c r="F24" s="126">
        <v>0</v>
      </c>
      <c r="G24" s="126">
        <v>0</v>
      </c>
      <c r="H24" s="126">
        <v>0</v>
      </c>
      <c r="I24" s="126">
        <v>0</v>
      </c>
      <c r="J24" s="127">
        <v>0</v>
      </c>
      <c r="K24" s="126">
        <v>0</v>
      </c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373"/>
    </row>
    <row r="25" spans="1:23" ht="15.75">
      <c r="A25" s="55">
        <v>22</v>
      </c>
      <c r="C25" s="54">
        <v>37834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26">
        <v>0</v>
      </c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373"/>
    </row>
    <row r="26" spans="1:23" ht="15.75">
      <c r="A26" s="55">
        <v>23</v>
      </c>
      <c r="C26" s="54">
        <v>37865</v>
      </c>
      <c r="F26" s="128">
        <v>0</v>
      </c>
      <c r="G26" s="128">
        <v>0</v>
      </c>
      <c r="H26" s="128">
        <v>0</v>
      </c>
      <c r="I26" s="128">
        <v>0</v>
      </c>
      <c r="J26" s="129">
        <v>0</v>
      </c>
      <c r="K26" s="128">
        <v>0</v>
      </c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373"/>
    </row>
    <row r="27" spans="1:23" ht="21" customHeight="1">
      <c r="A27" s="55">
        <v>24</v>
      </c>
      <c r="C27" s="53" t="s">
        <v>102</v>
      </c>
      <c r="F27" s="130">
        <f aca="true" t="shared" si="1" ref="F27:K27">ROUND(((F14+F26)+(SUM(F15:F25)*2))/24,0)</f>
        <v>0</v>
      </c>
      <c r="G27" s="130">
        <f t="shared" si="1"/>
        <v>0</v>
      </c>
      <c r="H27" s="130">
        <f t="shared" si="1"/>
        <v>0</v>
      </c>
      <c r="I27" s="130">
        <f t="shared" si="1"/>
        <v>0</v>
      </c>
      <c r="J27" s="131">
        <f t="shared" si="1"/>
        <v>0</v>
      </c>
      <c r="K27" s="130">
        <f t="shared" si="1"/>
        <v>6250000</v>
      </c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</row>
    <row r="28" spans="1:23" ht="15.75">
      <c r="A28" s="55">
        <v>25</v>
      </c>
      <c r="F28" s="130"/>
      <c r="G28" s="130"/>
      <c r="H28" s="130"/>
      <c r="I28" s="130"/>
      <c r="J28" s="131"/>
      <c r="K28" s="130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</row>
    <row r="29" spans="1:23" ht="15.75">
      <c r="A29" s="55">
        <v>26</v>
      </c>
      <c r="F29" s="130"/>
      <c r="G29" s="130"/>
      <c r="H29" s="130"/>
      <c r="I29" s="130"/>
      <c r="J29" s="131"/>
      <c r="K29" s="130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</row>
    <row r="30" spans="1:23" ht="15.75">
      <c r="A30" s="55">
        <v>27</v>
      </c>
      <c r="B30" s="53" t="s">
        <v>103</v>
      </c>
      <c r="F30" s="130">
        <f aca="true" t="shared" si="2" ref="F30:K30">F9</f>
        <v>3000000</v>
      </c>
      <c r="G30" s="130">
        <f t="shared" si="2"/>
        <v>7000000</v>
      </c>
      <c r="H30" s="130">
        <f t="shared" si="2"/>
        <v>5000000</v>
      </c>
      <c r="I30" s="130">
        <f t="shared" si="2"/>
        <v>10000000</v>
      </c>
      <c r="J30" s="131">
        <f t="shared" si="2"/>
        <v>25000000</v>
      </c>
      <c r="K30" s="130">
        <f t="shared" si="2"/>
        <v>30000000</v>
      </c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</row>
    <row r="31" spans="1:23" ht="15.75">
      <c r="A31" s="55">
        <v>28</v>
      </c>
      <c r="B31" s="53" t="s">
        <v>104</v>
      </c>
      <c r="F31" s="132">
        <f aca="true" t="shared" si="3" ref="F31:K31">F27</f>
        <v>0</v>
      </c>
      <c r="G31" s="132">
        <f t="shared" si="3"/>
        <v>0</v>
      </c>
      <c r="H31" s="132">
        <f t="shared" si="3"/>
        <v>0</v>
      </c>
      <c r="I31" s="132">
        <f t="shared" si="3"/>
        <v>0</v>
      </c>
      <c r="J31" s="133">
        <f t="shared" si="3"/>
        <v>0</v>
      </c>
      <c r="K31" s="132">
        <f t="shared" si="3"/>
        <v>6250000</v>
      </c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</row>
    <row r="32" spans="1:23" ht="16.5" thickBot="1">
      <c r="A32" s="55">
        <v>29</v>
      </c>
      <c r="B32" s="29" t="s">
        <v>105</v>
      </c>
      <c r="C32" s="29"/>
      <c r="D32" s="29"/>
      <c r="E32" s="29"/>
      <c r="F32" s="424">
        <f aca="true" t="shared" si="4" ref="F32:K32">F30-F31</f>
        <v>3000000</v>
      </c>
      <c r="G32" s="424">
        <f t="shared" si="4"/>
        <v>7000000</v>
      </c>
      <c r="H32" s="424">
        <f t="shared" si="4"/>
        <v>5000000</v>
      </c>
      <c r="I32" s="424">
        <f t="shared" si="4"/>
        <v>10000000</v>
      </c>
      <c r="J32" s="425">
        <f t="shared" si="4"/>
        <v>25000000</v>
      </c>
      <c r="K32" s="424">
        <f t="shared" si="4"/>
        <v>23750000</v>
      </c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</row>
    <row r="33" spans="1:23" ht="16.5" thickTop="1">
      <c r="A33" s="55">
        <v>30</v>
      </c>
      <c r="F33" s="130"/>
      <c r="G33" s="130"/>
      <c r="H33" s="130"/>
      <c r="J33" s="131"/>
      <c r="K33" s="130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</row>
    <row r="34" spans="1:23" ht="15.75">
      <c r="A34" s="55">
        <v>31</v>
      </c>
      <c r="B34" s="53" t="s">
        <v>106</v>
      </c>
      <c r="F34" s="130">
        <f aca="true" t="shared" si="5" ref="F34:K34">F11</f>
        <v>255000.00000000003</v>
      </c>
      <c r="G34" s="130">
        <f t="shared" si="5"/>
        <v>594300</v>
      </c>
      <c r="H34" s="130">
        <f t="shared" si="5"/>
        <v>434000</v>
      </c>
      <c r="I34" s="130">
        <f t="shared" si="5"/>
        <v>850000.0000000001</v>
      </c>
      <c r="J34" s="131">
        <f t="shared" si="5"/>
        <v>2087500.0000000002</v>
      </c>
      <c r="K34" s="130">
        <f t="shared" si="5"/>
        <v>2487000</v>
      </c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</row>
    <row r="35" spans="1:23" ht="15.75">
      <c r="A35" s="55">
        <v>32</v>
      </c>
      <c r="B35" s="53" t="s">
        <v>119</v>
      </c>
      <c r="F35" s="126">
        <f aca="true" t="shared" si="6" ref="F35:K35">F31*F10</f>
        <v>0</v>
      </c>
      <c r="G35" s="126">
        <f t="shared" si="6"/>
        <v>0</v>
      </c>
      <c r="H35" s="126">
        <f t="shared" si="6"/>
        <v>0</v>
      </c>
      <c r="I35" s="126">
        <f t="shared" si="6"/>
        <v>0</v>
      </c>
      <c r="J35" s="127">
        <f t="shared" si="6"/>
        <v>0</v>
      </c>
      <c r="K35" s="126">
        <f t="shared" si="6"/>
        <v>518125</v>
      </c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</row>
    <row r="36" spans="1:23" ht="16.5" thickBot="1">
      <c r="A36" s="55">
        <v>33</v>
      </c>
      <c r="B36" s="29" t="s">
        <v>107</v>
      </c>
      <c r="C36" s="29"/>
      <c r="D36" s="29"/>
      <c r="E36" s="29"/>
      <c r="F36" s="424">
        <f aca="true" t="shared" si="7" ref="F36:K36">F34-F35</f>
        <v>255000.00000000003</v>
      </c>
      <c r="G36" s="424">
        <f t="shared" si="7"/>
        <v>594300</v>
      </c>
      <c r="H36" s="424">
        <f t="shared" si="7"/>
        <v>434000</v>
      </c>
      <c r="I36" s="424">
        <f t="shared" si="7"/>
        <v>850000.0000000001</v>
      </c>
      <c r="J36" s="425">
        <f t="shared" si="7"/>
        <v>2087500.0000000002</v>
      </c>
      <c r="K36" s="424">
        <f t="shared" si="7"/>
        <v>1968875</v>
      </c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</row>
    <row r="37" ht="16.5" thickTop="1"/>
  </sheetData>
  <mergeCells count="3">
    <mergeCell ref="A1:K1"/>
    <mergeCell ref="A2:K2"/>
    <mergeCell ref="A3:K3"/>
  </mergeCells>
  <printOptions horizontalCentered="1"/>
  <pageMargins left="0.25" right="0.25" top="1" bottom="1" header="0.5" footer="0.5"/>
  <pageSetup fitToHeight="1" fitToWidth="1" horizontalDpi="600" verticalDpi="600" orientation="landscape" scale="82" r:id="rId1"/>
  <headerFooter alignWithMargins="0">
    <oddHeader>&amp;R&amp;"Times New Roman,Regular"Page 10</oddHeader>
    <oddFooter>&amp;L&amp;"Times New Roman,Regular"&amp;10&amp;F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PSE</cp:lastModifiedBy>
  <cp:lastPrinted>2001-11-26T17:50:42Z</cp:lastPrinted>
  <dcterms:created xsi:type="dcterms:W3CDTF">1997-12-17T18:42:26Z</dcterms:created>
  <dcterms:modified xsi:type="dcterms:W3CDTF">2001-11-20T01:16:12Z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