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pacificorp.us\dfs\PDXCO\PSB1\REGULATN\ER\_2022\Washington\WA 2024-2025 Rate Plan Filing\Rebuttal\Rebuttal Adjustments\Cleaned-up Adjustments\Non-Confidential\"/>
    </mc:Choice>
  </mc:AlternateContent>
  <xr:revisionPtr revIDLastSave="0" documentId="13_ncr:1_{1D02D5A8-F4DC-486F-BBB0-F496D5E8E965}" xr6:coauthVersionLast="47" xr6:coauthVersionMax="47" xr10:uidLastSave="{00000000-0000-0000-0000-000000000000}"/>
  <bookViews>
    <workbookView xWindow="28680" yWindow="480" windowWidth="29040" windowHeight="15840" xr2:uid="{00000000-000D-0000-FFFF-FFFF00000000}"/>
  </bookViews>
  <sheets>
    <sheet name="Washington with allocation" sheetId="6" r:id="rId1"/>
    <sheet name="Washington_Q3 2022" sheetId="1" r:id="rId2"/>
    <sheet name="bad debt" sheetId="4" r:id="rId3"/>
    <sheet name="late fees" sheetId="3" r:id="rId4"/>
    <sheet name="payroll tax deferrals" sheetId="5" r:id="rId5"/>
    <sheet name="employee exp" sheetId="7" r:id="rId6"/>
  </sheets>
  <definedNames>
    <definedName name="_xlnm._FilterDatabase" localSheetId="5" hidden="1">'employee exp'!$L$7:$L$49</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6" l="1"/>
  <c r="E13" i="6"/>
  <c r="B9" i="6"/>
  <c r="C11" i="1"/>
  <c r="D20" i="5"/>
  <c r="E11" i="7" l="1"/>
  <c r="H11" i="7"/>
  <c r="J11" i="7"/>
  <c r="E12" i="7"/>
  <c r="H12" i="7" s="1"/>
  <c r="J12" i="7"/>
  <c r="E13" i="7"/>
  <c r="H13" i="7" s="1"/>
  <c r="K13" i="7" s="1"/>
  <c r="J13" i="7"/>
  <c r="E14" i="7"/>
  <c r="H14" i="7" s="1"/>
  <c r="K14" i="7" s="1"/>
  <c r="J14" i="7"/>
  <c r="E15" i="7"/>
  <c r="H15" i="7" s="1"/>
  <c r="J15" i="7"/>
  <c r="E16" i="7"/>
  <c r="H16" i="7" s="1"/>
  <c r="K16" i="7" s="1"/>
  <c r="J16" i="7"/>
  <c r="E17" i="7"/>
  <c r="H17" i="7" s="1"/>
  <c r="J17" i="7"/>
  <c r="E18" i="7"/>
  <c r="H18" i="7"/>
  <c r="J18" i="7"/>
  <c r="E19" i="7"/>
  <c r="H19" i="7" s="1"/>
  <c r="K19" i="7" s="1"/>
  <c r="J19" i="7"/>
  <c r="E20" i="7"/>
  <c r="H20" i="7"/>
  <c r="J20" i="7"/>
  <c r="E21" i="7"/>
  <c r="H21" i="7" s="1"/>
  <c r="J21" i="7"/>
  <c r="E22" i="7"/>
  <c r="H22" i="7" s="1"/>
  <c r="J22" i="7"/>
  <c r="E23" i="7"/>
  <c r="H23" i="7"/>
  <c r="K23" i="7" s="1"/>
  <c r="J23" i="7"/>
  <c r="E24" i="7"/>
  <c r="H24" i="7" s="1"/>
  <c r="J24" i="7"/>
  <c r="E25" i="7"/>
  <c r="H25" i="7" s="1"/>
  <c r="K25" i="7" s="1"/>
  <c r="J25" i="7"/>
  <c r="E26" i="7"/>
  <c r="H26" i="7" s="1"/>
  <c r="J26" i="7"/>
  <c r="E27" i="7"/>
  <c r="H27" i="7"/>
  <c r="J27" i="7"/>
  <c r="K27" i="7"/>
  <c r="E28" i="7"/>
  <c r="H28" i="7" s="1"/>
  <c r="K28" i="7" s="1"/>
  <c r="J28" i="7"/>
  <c r="E29" i="7"/>
  <c r="H29" i="7" s="1"/>
  <c r="K29" i="7" s="1"/>
  <c r="J29" i="7"/>
  <c r="E30" i="7"/>
  <c r="H30" i="7" s="1"/>
  <c r="K30" i="7" s="1"/>
  <c r="J30" i="7"/>
  <c r="E31" i="7"/>
  <c r="H31" i="7" s="1"/>
  <c r="J31" i="7"/>
  <c r="E32" i="7"/>
  <c r="H32" i="7"/>
  <c r="J32" i="7"/>
  <c r="E33" i="7"/>
  <c r="H33" i="7" s="1"/>
  <c r="J33" i="7"/>
  <c r="E34" i="7"/>
  <c r="H34" i="7"/>
  <c r="J34" i="7"/>
  <c r="E35" i="7"/>
  <c r="H35" i="7"/>
  <c r="J35" i="7"/>
  <c r="E36" i="7"/>
  <c r="H36" i="7"/>
  <c r="J36" i="7"/>
  <c r="E37" i="7"/>
  <c r="H37" i="7" s="1"/>
  <c r="J37" i="7"/>
  <c r="E38" i="7"/>
  <c r="H38" i="7"/>
  <c r="J38" i="7"/>
  <c r="E39" i="7"/>
  <c r="H39" i="7"/>
  <c r="K39" i="7" s="1"/>
  <c r="J39" i="7"/>
  <c r="E40" i="7"/>
  <c r="H40" i="7" s="1"/>
  <c r="K40" i="7" s="1"/>
  <c r="J40" i="7"/>
  <c r="E41" i="7"/>
  <c r="H41" i="7"/>
  <c r="J41" i="7"/>
  <c r="E42" i="7"/>
  <c r="H42" i="7" s="1"/>
  <c r="J42" i="7"/>
  <c r="E43" i="7"/>
  <c r="H43" i="7"/>
  <c r="J43" i="7"/>
  <c r="K43" i="7"/>
  <c r="E44" i="7"/>
  <c r="H44" i="7"/>
  <c r="J44" i="7"/>
  <c r="E45" i="7"/>
  <c r="H45" i="7" s="1"/>
  <c r="K45" i="7" s="1"/>
  <c r="J45" i="7"/>
  <c r="E46" i="7"/>
  <c r="H46" i="7" s="1"/>
  <c r="J46" i="7"/>
  <c r="C47" i="7"/>
  <c r="F47" i="7"/>
  <c r="G47" i="7"/>
  <c r="K33" i="7" l="1"/>
  <c r="K15" i="7"/>
  <c r="K32" i="7"/>
  <c r="K11" i="7"/>
  <c r="K42" i="7"/>
  <c r="K24" i="7"/>
  <c r="K41" i="7"/>
  <c r="K26" i="7"/>
  <c r="K17" i="7"/>
  <c r="K44" i="7"/>
  <c r="K21" i="7"/>
  <c r="K35" i="7"/>
  <c r="K37" i="7"/>
  <c r="K31" i="7"/>
  <c r="K46" i="7"/>
  <c r="K36" i="7"/>
  <c r="K38" i="7"/>
  <c r="K22" i="7"/>
  <c r="K34" i="7"/>
  <c r="K18" i="7"/>
  <c r="K49" i="7" s="1"/>
  <c r="C10" i="1" s="1"/>
  <c r="K20" i="7"/>
  <c r="E47" i="7"/>
  <c r="J47" i="7"/>
  <c r="H47" i="7"/>
  <c r="K12" i="7"/>
  <c r="K47" i="7" l="1"/>
  <c r="C12" i="6" l="1"/>
  <c r="D8" i="6"/>
  <c r="D10" i="6"/>
  <c r="D11" i="6"/>
  <c r="D7" i="6"/>
  <c r="D9" i="6"/>
  <c r="B7" i="6"/>
  <c r="B6" i="6"/>
  <c r="B5" i="6"/>
  <c r="B4" i="6"/>
  <c r="D12" i="6" l="1"/>
  <c r="E12" i="6"/>
  <c r="B3" i="5"/>
  <c r="B4" i="5" s="1"/>
  <c r="F1" i="5"/>
  <c r="B5" i="5" l="1"/>
  <c r="B6" i="5" s="1"/>
  <c r="B7" i="5" s="1"/>
  <c r="B8" i="5" s="1"/>
  <c r="B9" i="5" s="1"/>
  <c r="B10" i="5" s="1"/>
  <c r="B11" i="5" s="1"/>
  <c r="C4" i="5"/>
  <c r="D3" i="5"/>
  <c r="B15" i="3"/>
  <c r="C10" i="4"/>
  <c r="C5" i="5" l="1"/>
  <c r="D4" i="5"/>
  <c r="J15" i="4"/>
  <c r="D5" i="5" l="1"/>
  <c r="C6" i="5"/>
  <c r="C3" i="4"/>
  <c r="C7" i="5" l="1"/>
  <c r="D6" i="5"/>
  <c r="C2" i="4"/>
  <c r="C8" i="5" l="1"/>
  <c r="D7" i="5"/>
  <c r="B16" i="3"/>
  <c r="C7" i="1"/>
  <c r="D8" i="5" l="1"/>
  <c r="C9" i="5"/>
  <c r="C7" i="4"/>
  <c r="C11" i="4" s="1"/>
  <c r="C4" i="4"/>
  <c r="C10" i="5" l="1"/>
  <c r="D9" i="5"/>
  <c r="C12" i="4"/>
  <c r="B4" i="1" s="1"/>
  <c r="B8" i="3"/>
  <c r="B9" i="3" s="1"/>
  <c r="D10" i="5" l="1"/>
  <c r="C11" i="5"/>
  <c r="B13" i="3"/>
  <c r="B10" i="3"/>
  <c r="D14" i="5" l="1"/>
  <c r="D15" i="5"/>
  <c r="D13" i="5"/>
  <c r="D11" i="5"/>
  <c r="D12" i="5" s="1"/>
  <c r="B14" i="3"/>
  <c r="B6" i="1" s="1"/>
  <c r="D17" i="5" l="1"/>
  <c r="D16" i="5"/>
  <c r="C24" i="1"/>
  <c r="C9" i="1" s="1"/>
  <c r="B12" i="1" l="1"/>
  <c r="C1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Cheung, Sherona (PacifiCorp)</author>
  </authors>
  <commentList>
    <comment ref="L7" authorId="0" shapeId="0" xr:uid="{D33A4B9D-1FE7-494C-BBF7-615E8A38C7C1}">
      <text>
        <r>
          <rPr>
            <sz val="9"/>
            <color indexed="81"/>
            <rFont val="Tahoma"/>
            <family val="2"/>
          </rPr>
          <t>Exclude "no" or "*"</t>
        </r>
      </text>
    </comment>
  </commentList>
</comments>
</file>

<file path=xl/sharedStrings.xml><?xml version="1.0" encoding="utf-8"?>
<sst xmlns="http://schemas.openxmlformats.org/spreadsheetml/2006/main" count="217" uniqueCount="165">
  <si>
    <t>Reduced employee expenses such as travel and training</t>
  </si>
  <si>
    <t>Technology costs to allow employees to work from home;</t>
  </si>
  <si>
    <t>Increased labor and additional facilities to enable social distancing;</t>
  </si>
  <si>
    <t>Higher bad debt expense due to lower customer collections;</t>
  </si>
  <si>
    <t>Total Company</t>
  </si>
  <si>
    <t>Estimated COVID-19 costs and savings</t>
  </si>
  <si>
    <t xml:space="preserve">-infrastructure improvements for virtual private network (VPN); </t>
  </si>
  <si>
    <t xml:space="preserve">-upgrading Zoom licenses to handle requests for increased quantity and quality of webinars to communicate to staff.  </t>
  </si>
  <si>
    <t>1) &amp; 2)</t>
  </si>
  <si>
    <t>3)</t>
  </si>
  <si>
    <t>Total net costs</t>
  </si>
  <si>
    <t>Waived late fees (lower revenue)</t>
  </si>
  <si>
    <t>-employee telephone and internet stipend (accrued in October)</t>
  </si>
  <si>
    <t xml:space="preserve">3) </t>
  </si>
  <si>
    <t>Personal protective equipment, cleaning supplies and contact tracing;</t>
  </si>
  <si>
    <t>CARES Act savings (interest expense on payroll tax deferrals; qualified improvement property tax savings)</t>
  </si>
  <si>
    <t>No changes are expected from here on out</t>
  </si>
  <si>
    <t>amount deferred</t>
  </si>
  <si>
    <t>cumulative</t>
  </si>
  <si>
    <t>int savings</t>
  </si>
  <si>
    <t>rate</t>
  </si>
  <si>
    <t>monthly amount</t>
  </si>
  <si>
    <t>April</t>
  </si>
  <si>
    <t>May</t>
  </si>
  <si>
    <t>June</t>
  </si>
  <si>
    <t>July</t>
  </si>
  <si>
    <t>Aug</t>
  </si>
  <si>
    <t>Sept</t>
  </si>
  <si>
    <t>Oct</t>
  </si>
  <si>
    <t>Nov</t>
  </si>
  <si>
    <t>Dec</t>
  </si>
  <si>
    <t>interest savings in 2020</t>
  </si>
  <si>
    <t>interest savings in 2021</t>
  </si>
  <si>
    <t>total savings</t>
  </si>
  <si>
    <t>Bill payment assistance program</t>
  </si>
  <si>
    <t>Washington</t>
  </si>
  <si>
    <t>average 2015 - 2019</t>
  </si>
  <si>
    <t>per month</t>
  </si>
  <si>
    <t>WA late fees charged</t>
  </si>
  <si>
    <t>Year</t>
  </si>
  <si>
    <t>Deemed waived late fees for 2020</t>
  </si>
  <si>
    <t>Methodology defined by WUTC</t>
  </si>
  <si>
    <t>from FERC Form 1 support for page 304</t>
  </si>
  <si>
    <t>provision</t>
  </si>
  <si>
    <t>write-offs, net of recoveries</t>
  </si>
  <si>
    <t>total bad debt expense</t>
  </si>
  <si>
    <t>Washington bad debt expense in rates through 12/31/2020</t>
  </si>
  <si>
    <t>Prorated for 10 months in 2020 (COVID period)</t>
  </si>
  <si>
    <t>Foregone reconnect fees (called out in the Company's petition and the Commission's Order) are omitted because the fees would be offset by reduced costs (i.e. not having to perform the reconnects)</t>
  </si>
  <si>
    <t>Bad debt expense in rates</t>
  </si>
  <si>
    <t>Bad debt expense - Washington</t>
  </si>
  <si>
    <t>per g/l 550750, CP RV M130 &amp; M130-20</t>
  </si>
  <si>
    <t>Bad debt expense above the baseline</t>
  </si>
  <si>
    <t>from Regulation</t>
  </si>
  <si>
    <t>Notes:</t>
  </si>
  <si>
    <t>WA write-offs - YTD 2022:</t>
  </si>
  <si>
    <t>WA provision - YTD 2022:</t>
  </si>
  <si>
    <t>Washington bad debt expense in rates as of 1/1/22</t>
  </si>
  <si>
    <t>WA bad debt reserve - Feb (per GL 550750, CP RV M130)</t>
  </si>
  <si>
    <t>WA bad debt reserve - Mar (per GL 550750, CP RV M130)</t>
  </si>
  <si>
    <t>Deemed waived late fees for YTD 2021 through 12/31 (none collected in 2021)</t>
  </si>
  <si>
    <t>WA bad debt reserve - Apr (per GL 550750, CP RV M130)</t>
  </si>
  <si>
    <t>WA bad debt reserve - May (per GL 550750, CP RV M130)</t>
  </si>
  <si>
    <t>WA bad debt reserve - Jun (per GL 550750, CP RV M130)</t>
  </si>
  <si>
    <t>WA bad debt reserve - Jul (per GL 550750, CP RV M130)</t>
  </si>
  <si>
    <t>WA bad debt reserve - Aug (per GL 550750, CP RV M130)</t>
  </si>
  <si>
    <t>WA bad debt reserve - Sept (per GL 550750, CP RV M130)</t>
  </si>
  <si>
    <t>Deemed waived late fees for YTD 2022 through 9/30 (none collected to date in 2022)</t>
  </si>
  <si>
    <t>Through 9/30/2022</t>
  </si>
  <si>
    <t>per g/l 550750, CP RV M106 &amp; CP RV M105</t>
  </si>
  <si>
    <t>31-month period from 3/1/2020 - 9/30/2022</t>
  </si>
  <si>
    <t>Prorated for 9 months (through 9/30/22)</t>
  </si>
  <si>
    <t>Washington bad debt expense in rates for 2021</t>
  </si>
  <si>
    <t>GL detail 550750, filter on cost center 13257, subtotal on CP RV M105</t>
  </si>
  <si>
    <t>total deemed waived late fees through 9/30/22</t>
  </si>
  <si>
    <t>use this rate through Q2 2022</t>
  </si>
  <si>
    <t>interest savings Q1 &amp; Q2 2022</t>
  </si>
  <si>
    <t>interest savings Q3 &amp; Q4 2022</t>
  </si>
  <si>
    <t>total through 9/30/22</t>
  </si>
  <si>
    <t>Social Security tax deferrals under the CARES Act. Deferred taxes from April - December 2020. To be paid as follows: 1/2 in Dec 2021 and 1/2 in Dec 2022.</t>
  </si>
  <si>
    <t>Washington Alloc.</t>
  </si>
  <si>
    <t>Dec 2021 ROO SO</t>
  </si>
  <si>
    <t>2) Increased overhaul costs to enable social distancing: meals that we had to supply for the contractors, trailer rentals, equipment and other misc contracts and supplies</t>
  </si>
  <si>
    <t>No changes post 4/15/21. Further changes are not expected</t>
  </si>
  <si>
    <t xml:space="preserve">Accrual amount from Financial Planning. Reasonably approximates actuals submitted via employee expense reports. Amount is excluded from the employee expenses category above to avoid double counting. </t>
  </si>
  <si>
    <t>actual collected January 1, 2020- March 1, 2020, from Billings late fees schedule</t>
  </si>
  <si>
    <t>start using this rate in Q3/Q4 2022 per treasury. Due to immaterial impact and the fact that this is a tracking exercise (nothing is being recorded), pass further precision on this calculation</t>
  </si>
  <si>
    <t>Washington Situs</t>
  </si>
  <si>
    <t>Washington Deferred</t>
  </si>
  <si>
    <t>Higher bad debt expense due to lower customer collections</t>
  </si>
  <si>
    <t>Increased labor and additional facilities to enable social distancing</t>
  </si>
  <si>
    <t>Personal protective equipment, cleaning supplies and contact tracing</t>
  </si>
  <si>
    <t>Technology costs to allow employees to work from home</t>
  </si>
  <si>
    <t>Comments</t>
  </si>
  <si>
    <t>per attached calculation ("bad debt" tab)</t>
  </si>
  <si>
    <t>Deferrals to regulatory asset account GL187362</t>
  </si>
  <si>
    <t>per attached calculation ("late fees" tab)</t>
  </si>
  <si>
    <t>Order 252504</t>
  </si>
  <si>
    <t>1) Standby pay paid to a crew in each district so that they would stay as a “pod” should they need to respond to any after-hours calls.  There is a letter between the company and the union outlining this agreement.</t>
  </si>
  <si>
    <t>GL accounts 240302 and 289322</t>
  </si>
  <si>
    <t xml:space="preserve">* $336k estimated work from home reimbursement of cell phone and internet were accrued to this account in October 2020 and reversed in November. Actual charges are now flowing through as employees submit expense reports. Continue to use the accrual amount in the COVID costs and savings report (included in the "work from home" category) as actuals reasonably approximate accruals. Therefore, we will exclude this category from this report so we do not double count this expense. </t>
  </si>
  <si>
    <t>Total COVID savings</t>
  </si>
  <si>
    <t>Total Employee Expenses</t>
  </si>
  <si>
    <t>no</t>
  </si>
  <si>
    <t>Miscellaneous Costs-Settled to Capital</t>
  </si>
  <si>
    <t>Mining - Employee Expenses - Credit</t>
  </si>
  <si>
    <t>Emp Exp Cap Srchrg - Reclass to Ovrhds</t>
  </si>
  <si>
    <t>Employee Related Expenses - Bridger Coa</t>
  </si>
  <si>
    <t>Employee Convenience Supplies</t>
  </si>
  <si>
    <t>Coffee/Water/Beverage Service-Employees</t>
  </si>
  <si>
    <t>Service and Recognition Awards</t>
  </si>
  <si>
    <t>Related Party Employee Expense Reimb</t>
  </si>
  <si>
    <t>yes</t>
  </si>
  <si>
    <t>Other Employee Related Expenses</t>
  </si>
  <si>
    <t>Employer Provided Transit Passes</t>
  </si>
  <si>
    <t>Books &amp; Subscriptions</t>
  </si>
  <si>
    <t>Safety Supplies Stipend/Allowance</t>
  </si>
  <si>
    <t>Travel Per Diem</t>
  </si>
  <si>
    <t>Dues &amp; Licenses</t>
  </si>
  <si>
    <t>Registration Fees</t>
  </si>
  <si>
    <t>Training</t>
  </si>
  <si>
    <t>*</t>
  </si>
  <si>
    <t>Cellular Telephone Expense</t>
  </si>
  <si>
    <t>Auto Expense - Other</t>
  </si>
  <si>
    <t>Auto Expense - Parking (Work Facility)</t>
  </si>
  <si>
    <t>Auto Expense - Parking (On Travel)</t>
  </si>
  <si>
    <t>Auto Expense - Mileage</t>
  </si>
  <si>
    <t>Other Ground Transportation - Commercia</t>
  </si>
  <si>
    <t>Vehicle Rental and Expense</t>
  </si>
  <si>
    <t>Meals &amp; Entertainment</t>
  </si>
  <si>
    <t>On-Site Meals &amp; Refreshments</t>
  </si>
  <si>
    <t>Off-Site Facility Rentals</t>
  </si>
  <si>
    <t>Lodging</t>
  </si>
  <si>
    <t>Corporate Aircraft Expense Allocation</t>
  </si>
  <si>
    <t>Corporate Aircraft Costs - (426.5)</t>
  </si>
  <si>
    <t>Corporate Aircraft Costs – Fixed &amp; Var</t>
  </si>
  <si>
    <t>Aircraft Charter Expense</t>
  </si>
  <si>
    <t>Corporate Aircraft Costs</t>
  </si>
  <si>
    <t>Aircraft Charter Expense - (426.5)</t>
  </si>
  <si>
    <t>Airfare</t>
  </si>
  <si>
    <t>Employee Expenses</t>
  </si>
  <si>
    <t>Operations, Maintenance, Admin &amp; General</t>
  </si>
  <si>
    <t>COVID?</t>
  </si>
  <si>
    <t xml:space="preserve">     difference</t>
  </si>
  <si>
    <t>converted to 25 months</t>
  </si>
  <si>
    <t>Jan - Dec 2019</t>
  </si>
  <si>
    <t>Jan - March 2022</t>
  </si>
  <si>
    <t>Jan - Dec 2021</t>
  </si>
  <si>
    <t>March - Dec 2020</t>
  </si>
  <si>
    <t>Jan - Dec 2020</t>
  </si>
  <si>
    <t>Jan - Feb 2020</t>
  </si>
  <si>
    <t xml:space="preserve">       Absolute</t>
  </si>
  <si>
    <t>12 months 2019</t>
  </si>
  <si>
    <t>12 months</t>
  </si>
  <si>
    <t>25-months ended</t>
  </si>
  <si>
    <t>3 months</t>
  </si>
  <si>
    <t>10 months</t>
  </si>
  <si>
    <t>2 months</t>
  </si>
  <si>
    <t xml:space="preserve">PLUS Cares Tax Savings (from Tax) </t>
  </si>
  <si>
    <t>TOTAL</t>
  </si>
  <si>
    <t>Income tax benefits per Tax plus time value of money for payroll deferrals ("payroll tax deferrals" tab)</t>
  </si>
  <si>
    <t>25 months ended 3/31/22 (COVID period) vs 2019 converted to 25 months (non-COVID period) from "employee exp" tab. Note: COVID period is deemed to have ended 3/31/22 for purposes of this calculation.</t>
  </si>
  <si>
    <t>Compare 25 month Mar 20 - Mar 22 (COVID period) to calendar year 2019 (non-COVID period), converted to 25 months</t>
  </si>
  <si>
    <t>Amount omitted from recovery request</t>
  </si>
  <si>
    <t>Ref Exh SLC-4, Page 8.2.4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</si>
</sst>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
    <numFmt numFmtId="166" formatCode="0.0000%"/>
  </numFmts>
  <fonts count="10"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u/>
      <sz val="11"/>
      <color theme="1"/>
      <name val="Calibri"/>
      <family val="2"/>
      <scheme val="minor"/>
    </font>
    <font>
      <b/>
      <u/>
      <sz val="11"/>
      <color theme="1"/>
      <name val="Calibri"/>
      <family val="2"/>
      <scheme val="minor"/>
    </font>
    <font>
      <b/>
      <sz val="11"/>
      <color theme="1"/>
      <name val="Calibri"/>
      <family val="2"/>
    </font>
    <font>
      <b/>
      <i/>
      <sz val="11"/>
      <color theme="1"/>
      <name val="Calibri"/>
      <family val="2"/>
      <scheme val="minor"/>
    </font>
    <font>
      <sz val="11"/>
      <name val="Calibri"/>
      <family val="2"/>
      <scheme val="minor"/>
    </font>
    <font>
      <sz val="9"/>
      <color indexed="81"/>
      <name val="Tahoma"/>
      <family val="2"/>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4">
    <xf numFmtId="0" fontId="0" fillId="0" borderId="0" xfId="0"/>
    <xf numFmtId="0" fontId="0" fillId="0" borderId="0" xfId="0" applyFont="1" applyAlignment="1">
      <alignment horizontal="left" vertical="center"/>
    </xf>
    <xf numFmtId="43" fontId="0" fillId="0" borderId="0" xfId="0" applyNumberFormat="1"/>
    <xf numFmtId="164" fontId="0" fillId="0" borderId="0" xfId="0" applyNumberFormat="1"/>
    <xf numFmtId="164" fontId="0" fillId="0" borderId="0" xfId="1" applyNumberFormat="1" applyFont="1"/>
    <xf numFmtId="0" fontId="2" fillId="0" borderId="0" xfId="0" applyFont="1"/>
    <xf numFmtId="0" fontId="3" fillId="0" borderId="0" xfId="0" applyFont="1"/>
    <xf numFmtId="164" fontId="0" fillId="0" borderId="0" xfId="1" applyNumberFormat="1" applyFont="1" applyFill="1"/>
    <xf numFmtId="0" fontId="0" fillId="0" borderId="0" xfId="0" quotePrefix="1"/>
    <xf numFmtId="0" fontId="0" fillId="0" borderId="0" xfId="0" quotePrefix="1" applyAlignment="1">
      <alignment wrapText="1"/>
    </xf>
    <xf numFmtId="164" fontId="0" fillId="0" borderId="1" xfId="1" applyNumberFormat="1" applyFont="1" applyFill="1" applyBorder="1"/>
    <xf numFmtId="164" fontId="0" fillId="0" borderId="0" xfId="1" applyNumberFormat="1" applyFont="1" applyFill="1" applyBorder="1"/>
    <xf numFmtId="0" fontId="0" fillId="0" borderId="0" xfId="0" applyAlignment="1">
      <alignment horizontal="left" vertical="center"/>
    </xf>
    <xf numFmtId="10" fontId="0" fillId="0" borderId="0" xfId="2" applyNumberFormat="1" applyFont="1"/>
    <xf numFmtId="43" fontId="0" fillId="0" borderId="0" xfId="1" applyFont="1"/>
    <xf numFmtId="164" fontId="0" fillId="0" borderId="1" xfId="1" applyNumberFormat="1" applyFont="1" applyBorder="1"/>
    <xf numFmtId="0" fontId="4" fillId="0" borderId="0" xfId="0" applyFont="1"/>
    <xf numFmtId="164" fontId="2" fillId="0" borderId="0" xfId="0" applyNumberFormat="1" applyFont="1"/>
    <xf numFmtId="164" fontId="0" fillId="0" borderId="1" xfId="0" applyNumberFormat="1" applyBorder="1"/>
    <xf numFmtId="0" fontId="5" fillId="0" borderId="0" xfId="0" applyFont="1"/>
    <xf numFmtId="43" fontId="0" fillId="0" borderId="2" xfId="1" applyFont="1" applyBorder="1"/>
    <xf numFmtId="43" fontId="0" fillId="0" borderId="0" xfId="1" applyFont="1" applyBorder="1"/>
    <xf numFmtId="43" fontId="0" fillId="0" borderId="2" xfId="0" applyNumberFormat="1" applyBorder="1"/>
    <xf numFmtId="43" fontId="0" fillId="0" borderId="0" xfId="1" applyFont="1" applyFill="1" applyBorder="1"/>
    <xf numFmtId="165" fontId="0" fillId="0" borderId="0" xfId="2" applyNumberFormat="1" applyFont="1"/>
    <xf numFmtId="0" fontId="6" fillId="0" borderId="0" xfId="0" applyFont="1"/>
    <xf numFmtId="0" fontId="0" fillId="0" borderId="0" xfId="0" applyAlignment="1">
      <alignment horizontal="right"/>
    </xf>
    <xf numFmtId="166" fontId="0" fillId="0" borderId="0" xfId="2" applyNumberFormat="1" applyFont="1"/>
    <xf numFmtId="0" fontId="0" fillId="0" borderId="0" xfId="0" quotePrefix="1" applyAlignment="1">
      <alignment horizontal="left" indent="3"/>
    </xf>
    <xf numFmtId="0" fontId="0" fillId="0" borderId="0" xfId="0" quotePrefix="1" applyAlignment="1">
      <alignment horizontal="left" wrapText="1" indent="3"/>
    </xf>
    <xf numFmtId="164" fontId="2" fillId="0" borderId="3" xfId="0" applyNumberFormat="1" applyFont="1" applyBorder="1"/>
    <xf numFmtId="0" fontId="7" fillId="0" borderId="0" xfId="0" applyFont="1" applyAlignment="1">
      <alignment horizontal="right"/>
    </xf>
    <xf numFmtId="0" fontId="0" fillId="0" borderId="0" xfId="0" applyAlignment="1">
      <alignment horizontal="center"/>
    </xf>
    <xf numFmtId="0" fontId="2" fillId="0" borderId="3" xfId="0" applyFont="1" applyBorder="1"/>
    <xf numFmtId="0" fontId="0" fillId="0" borderId="3" xfId="0" applyFont="1" applyBorder="1" applyAlignment="1">
      <alignment horizontal="left" vertical="center"/>
    </xf>
    <xf numFmtId="164" fontId="0" fillId="0" borderId="3" xfId="1" applyNumberFormat="1" applyFont="1" applyFill="1" applyBorder="1"/>
    <xf numFmtId="164" fontId="0" fillId="0" borderId="3" xfId="0" applyNumberFormat="1" applyBorder="1"/>
    <xf numFmtId="0" fontId="2" fillId="0" borderId="3" xfId="0" applyFont="1" applyBorder="1" applyAlignment="1">
      <alignment horizontal="center"/>
    </xf>
    <xf numFmtId="0" fontId="2" fillId="0" borderId="3" xfId="0" applyFont="1" applyBorder="1" applyAlignment="1">
      <alignment horizontal="left" vertical="center"/>
    </xf>
    <xf numFmtId="0" fontId="8" fillId="0" borderId="3" xfId="0" applyFont="1" applyBorder="1" applyAlignment="1">
      <alignment horizontal="left" vertical="center"/>
    </xf>
    <xf numFmtId="164" fontId="8" fillId="0" borderId="3" xfId="0" applyNumberFormat="1" applyFont="1" applyBorder="1"/>
    <xf numFmtId="164" fontId="8" fillId="0" borderId="3" xfId="1" applyNumberFormat="1" applyFont="1" applyFill="1" applyBorder="1"/>
    <xf numFmtId="0" fontId="8" fillId="0" borderId="0" xfId="0" applyFont="1"/>
    <xf numFmtId="0" fontId="0" fillId="0" borderId="0" xfId="0" applyAlignment="1">
      <alignment horizontal="left" wrapText="1"/>
    </xf>
    <xf numFmtId="43" fontId="2" fillId="0" borderId="0" xfId="1" applyFont="1"/>
    <xf numFmtId="4" fontId="0" fillId="0" borderId="0" xfId="0" applyNumberFormat="1"/>
    <xf numFmtId="4" fontId="0" fillId="2" borderId="1" xfId="0" applyNumberFormat="1" applyFill="1" applyBorder="1"/>
    <xf numFmtId="0" fontId="0" fillId="0" borderId="1" xfId="0" applyBorder="1"/>
    <xf numFmtId="4" fontId="0" fillId="0" borderId="1" xfId="0" applyNumberFormat="1" applyBorder="1"/>
    <xf numFmtId="43" fontId="0" fillId="0" borderId="1" xfId="1" applyFont="1" applyBorder="1"/>
    <xf numFmtId="4" fontId="0" fillId="2" borderId="0" xfId="0" applyNumberFormat="1" applyFill="1"/>
    <xf numFmtId="14" fontId="0" fillId="0" borderId="0" xfId="0" applyNumberFormat="1" applyAlignment="1">
      <alignment horizontal="center"/>
    </xf>
    <xf numFmtId="164" fontId="7" fillId="0" borderId="0" xfId="0" applyNumberFormat="1" applyFont="1"/>
    <xf numFmtId="0" fontId="7" fillId="0" borderId="0" xfId="0" applyFont="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B0645-B7E2-4CB0-AB4B-48179BB2E5D0}">
  <dimension ref="A1:G17"/>
  <sheetViews>
    <sheetView tabSelected="1" workbookViewId="0">
      <selection activeCell="A14" sqref="A14"/>
    </sheetView>
  </sheetViews>
  <sheetFormatPr defaultRowHeight="15" x14ac:dyDescent="0.25"/>
  <cols>
    <col min="1" max="1" width="97.140625" bestFit="1" customWidth="1"/>
    <col min="2" max="2" width="14.28515625" bestFit="1" customWidth="1"/>
    <col min="3" max="3" width="16.5703125" bestFit="1" customWidth="1"/>
    <col min="4" max="4" width="17.42578125" bestFit="1" customWidth="1"/>
    <col min="5" max="5" width="20.42578125" bestFit="1" customWidth="1"/>
  </cols>
  <sheetData>
    <row r="1" spans="1:7" x14ac:dyDescent="0.25">
      <c r="A1" s="6" t="s">
        <v>5</v>
      </c>
      <c r="F1" s="26" t="s">
        <v>81</v>
      </c>
      <c r="G1" s="27">
        <v>7.1290698940203887E-2</v>
      </c>
    </row>
    <row r="3" spans="1:7" x14ac:dyDescent="0.25">
      <c r="A3" s="5" t="s">
        <v>68</v>
      </c>
      <c r="B3" s="5" t="s">
        <v>4</v>
      </c>
      <c r="C3" s="5" t="s">
        <v>87</v>
      </c>
      <c r="D3" s="25" t="s">
        <v>80</v>
      </c>
      <c r="E3" s="25" t="s">
        <v>88</v>
      </c>
    </row>
    <row r="4" spans="1:7" x14ac:dyDescent="0.25">
      <c r="A4" s="1" t="s">
        <v>89</v>
      </c>
      <c r="B4" s="3">
        <f>C4</f>
        <v>1116983</v>
      </c>
      <c r="C4" s="4">
        <v>1116983</v>
      </c>
    </row>
    <row r="5" spans="1:7" x14ac:dyDescent="0.25">
      <c r="A5" s="1" t="s">
        <v>34</v>
      </c>
      <c r="B5" s="3">
        <f>C5</f>
        <v>3101325</v>
      </c>
      <c r="C5" s="4">
        <v>3101325</v>
      </c>
    </row>
    <row r="6" spans="1:7" x14ac:dyDescent="0.25">
      <c r="A6" s="1" t="s">
        <v>11</v>
      </c>
      <c r="B6" s="3">
        <f>C6</f>
        <v>1818122</v>
      </c>
      <c r="C6" s="4">
        <v>1818122</v>
      </c>
    </row>
    <row r="7" spans="1:7" x14ac:dyDescent="0.25">
      <c r="A7" s="1" t="s">
        <v>90</v>
      </c>
      <c r="B7" s="7">
        <f>1332513+237951+664000</f>
        <v>2234464</v>
      </c>
      <c r="D7" s="3">
        <f>B7*$G$1</f>
        <v>159296.50031672374</v>
      </c>
    </row>
    <row r="8" spans="1:7" x14ac:dyDescent="0.25">
      <c r="A8" s="1" t="s">
        <v>91</v>
      </c>
      <c r="B8" s="7">
        <v>2329380</v>
      </c>
      <c r="D8" s="3">
        <f t="shared" ref="D8:D11" si="0">B8*$G$1</f>
        <v>166063.12829733212</v>
      </c>
    </row>
    <row r="9" spans="1:7" x14ac:dyDescent="0.25">
      <c r="A9" s="1" t="s">
        <v>92</v>
      </c>
      <c r="B9" s="7">
        <f>'Washington_Q3 2022'!C9</f>
        <v>503870</v>
      </c>
      <c r="D9" s="3">
        <f t="shared" si="0"/>
        <v>35921.244475000531</v>
      </c>
    </row>
    <row r="10" spans="1:7" x14ac:dyDescent="0.25">
      <c r="A10" s="1" t="s">
        <v>0</v>
      </c>
      <c r="B10" s="7">
        <v>-14891103</v>
      </c>
      <c r="D10" s="3">
        <f t="shared" si="0"/>
        <v>-1061597.1408605669</v>
      </c>
    </row>
    <row r="11" spans="1:7" x14ac:dyDescent="0.25">
      <c r="A11" s="12" t="s">
        <v>15</v>
      </c>
      <c r="B11" s="11">
        <v>-368025</v>
      </c>
      <c r="C11" s="10"/>
      <c r="D11" s="10">
        <f t="shared" si="0"/>
        <v>-26236.759477468535</v>
      </c>
    </row>
    <row r="12" spans="1:7" x14ac:dyDescent="0.25">
      <c r="A12" s="1" t="s">
        <v>10</v>
      </c>
      <c r="C12" s="3">
        <f>SUM(C4:C11)</f>
        <v>6036430</v>
      </c>
      <c r="D12" s="3">
        <f>SUM(D7:D11)</f>
        <v>-726553.02724897896</v>
      </c>
      <c r="E12" s="30">
        <f>SUM(C12:D12)</f>
        <v>5309876.9727510214</v>
      </c>
    </row>
    <row r="13" spans="1:7" x14ac:dyDescent="0.25">
      <c r="E13" s="3">
        <f>-D9</f>
        <v>-35921.244475000531</v>
      </c>
      <c r="F13" t="s">
        <v>163</v>
      </c>
    </row>
    <row r="14" spans="1:7" x14ac:dyDescent="0.25">
      <c r="E14" s="52">
        <f>SUM(E12:E13)</f>
        <v>5273955.7282760208</v>
      </c>
      <c r="F14" s="53" t="s">
        <v>164</v>
      </c>
    </row>
    <row r="16" spans="1:7" x14ac:dyDescent="0.25">
      <c r="E16" s="31"/>
    </row>
    <row r="17" spans="5:5" x14ac:dyDescent="0.25">
      <c r="E17" s="3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5"/>
  <sheetViews>
    <sheetView workbookViewId="0">
      <selection activeCell="E31" sqref="E31"/>
    </sheetView>
  </sheetViews>
  <sheetFormatPr defaultRowHeight="15" x14ac:dyDescent="0.25"/>
  <cols>
    <col min="1" max="1" width="94.5703125" customWidth="1"/>
    <col min="2" max="2" width="14.5703125" bestFit="1" customWidth="1"/>
    <col min="3" max="3" width="14.28515625" bestFit="1" customWidth="1"/>
  </cols>
  <sheetData>
    <row r="1" spans="1:6" x14ac:dyDescent="0.25">
      <c r="A1" s="6" t="s">
        <v>5</v>
      </c>
    </row>
    <row r="3" spans="1:6" x14ac:dyDescent="0.25">
      <c r="A3" s="33" t="s">
        <v>68</v>
      </c>
      <c r="B3" s="37" t="s">
        <v>35</v>
      </c>
      <c r="C3" s="37" t="s">
        <v>4</v>
      </c>
      <c r="D3" s="19" t="s">
        <v>93</v>
      </c>
    </row>
    <row r="4" spans="1:6" x14ac:dyDescent="0.25">
      <c r="A4" s="34" t="s">
        <v>3</v>
      </c>
      <c r="B4" s="35">
        <f>ROUND('bad debt'!C12,0)</f>
        <v>1116983</v>
      </c>
      <c r="C4" s="35"/>
      <c r="D4" t="s">
        <v>94</v>
      </c>
    </row>
    <row r="5" spans="1:6" x14ac:dyDescent="0.25">
      <c r="A5" s="34" t="s">
        <v>34</v>
      </c>
      <c r="B5" s="35">
        <v>3101325</v>
      </c>
      <c r="C5" s="35"/>
      <c r="D5" t="s">
        <v>95</v>
      </c>
    </row>
    <row r="6" spans="1:6" x14ac:dyDescent="0.25">
      <c r="A6" s="34" t="s">
        <v>11</v>
      </c>
      <c r="B6" s="35">
        <f>ROUND('late fees'!B16,0)</f>
        <v>1818122</v>
      </c>
      <c r="C6" s="35"/>
      <c r="D6" t="s">
        <v>96</v>
      </c>
    </row>
    <row r="7" spans="1:6" x14ac:dyDescent="0.25">
      <c r="A7" s="34" t="s">
        <v>2</v>
      </c>
      <c r="B7" s="36"/>
      <c r="C7" s="35">
        <f>1332513+237951+664000</f>
        <v>2234464</v>
      </c>
      <c r="D7" t="s">
        <v>8</v>
      </c>
      <c r="F7" t="s">
        <v>16</v>
      </c>
    </row>
    <row r="8" spans="1:6" x14ac:dyDescent="0.25">
      <c r="A8" s="34" t="s">
        <v>14</v>
      </c>
      <c r="B8" s="36"/>
      <c r="C8" s="35">
        <v>2329380</v>
      </c>
      <c r="D8" t="s">
        <v>97</v>
      </c>
    </row>
    <row r="9" spans="1:6" x14ac:dyDescent="0.25">
      <c r="A9" s="34" t="s">
        <v>1</v>
      </c>
      <c r="B9" s="36"/>
      <c r="C9" s="35">
        <f>C24</f>
        <v>503870</v>
      </c>
      <c r="D9" s="8" t="s">
        <v>9</v>
      </c>
    </row>
    <row r="10" spans="1:6" s="42" customFormat="1" x14ac:dyDescent="0.25">
      <c r="A10" s="39" t="s">
        <v>0</v>
      </c>
      <c r="B10" s="40"/>
      <c r="C10" s="41">
        <f>'employee exp'!K49</f>
        <v>-14891102.92666667</v>
      </c>
      <c r="D10" s="42" t="s">
        <v>161</v>
      </c>
    </row>
    <row r="11" spans="1:6" s="42" customFormat="1" x14ac:dyDescent="0.25">
      <c r="A11" s="39" t="s">
        <v>15</v>
      </c>
      <c r="B11" s="41"/>
      <c r="C11" s="41">
        <f>-'payroll tax deferrals'!D20</f>
        <v>-368025</v>
      </c>
      <c r="D11" s="42" t="s">
        <v>160</v>
      </c>
    </row>
    <row r="12" spans="1:6" x14ac:dyDescent="0.25">
      <c r="A12" s="38" t="s">
        <v>10</v>
      </c>
      <c r="B12" s="30">
        <f>SUM(B4:B11)</f>
        <v>6036430</v>
      </c>
      <c r="C12" s="30">
        <f>SUM(C4:C11)</f>
        <v>-10191413.92666667</v>
      </c>
    </row>
    <row r="13" spans="1:6" x14ac:dyDescent="0.25">
      <c r="C13" s="2"/>
    </row>
    <row r="15" spans="1:6" x14ac:dyDescent="0.25">
      <c r="A15" t="s">
        <v>48</v>
      </c>
    </row>
    <row r="17" spans="1:5" x14ac:dyDescent="0.25">
      <c r="A17" t="s">
        <v>54</v>
      </c>
    </row>
    <row r="18" spans="1:5" x14ac:dyDescent="0.25">
      <c r="A18" t="s">
        <v>98</v>
      </c>
    </row>
    <row r="19" spans="1:5" x14ac:dyDescent="0.25">
      <c r="A19" t="s">
        <v>82</v>
      </c>
    </row>
    <row r="20" spans="1:5" x14ac:dyDescent="0.25">
      <c r="A20" t="s">
        <v>13</v>
      </c>
    </row>
    <row r="21" spans="1:5" x14ac:dyDescent="0.25">
      <c r="A21" s="28" t="s">
        <v>6</v>
      </c>
      <c r="C21" s="4">
        <v>142610</v>
      </c>
      <c r="D21" t="s">
        <v>83</v>
      </c>
    </row>
    <row r="22" spans="1:5" ht="30" x14ac:dyDescent="0.25">
      <c r="A22" s="29" t="s">
        <v>7</v>
      </c>
      <c r="C22" s="11">
        <v>25260</v>
      </c>
      <c r="D22" t="s">
        <v>83</v>
      </c>
    </row>
    <row r="23" spans="1:5" x14ac:dyDescent="0.25">
      <c r="A23" s="29" t="s">
        <v>12</v>
      </c>
      <c r="C23" s="10">
        <v>336000</v>
      </c>
      <c r="D23" t="s">
        <v>84</v>
      </c>
    </row>
    <row r="24" spans="1:5" x14ac:dyDescent="0.25">
      <c r="C24" s="3">
        <f>SUM(C21:C23)</f>
        <v>503870</v>
      </c>
    </row>
    <row r="25" spans="1:5" x14ac:dyDescent="0.25">
      <c r="A25" s="9"/>
      <c r="B25" s="9"/>
      <c r="C25" s="9"/>
      <c r="D25" s="9"/>
      <c r="E25" s="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0DC26-5EB9-47FA-ABF1-9114B521EADB}">
  <dimension ref="A1:K21"/>
  <sheetViews>
    <sheetView workbookViewId="0">
      <selection activeCell="E35" sqref="E35"/>
    </sheetView>
  </sheetViews>
  <sheetFormatPr defaultRowHeight="15" x14ac:dyDescent="0.25"/>
  <cols>
    <col min="1" max="1" width="50.85546875" bestFit="1" customWidth="1"/>
    <col min="3" max="3" width="12.5703125" bestFit="1" customWidth="1"/>
    <col min="7" max="7" width="13.28515625" bestFit="1" customWidth="1"/>
    <col min="10" max="10" width="14.42578125" customWidth="1"/>
  </cols>
  <sheetData>
    <row r="1" spans="1:11" x14ac:dyDescent="0.25">
      <c r="A1" s="5" t="s">
        <v>50</v>
      </c>
      <c r="C1" s="16" t="s">
        <v>70</v>
      </c>
    </row>
    <row r="2" spans="1:11" x14ac:dyDescent="0.25">
      <c r="A2" t="s">
        <v>43</v>
      </c>
      <c r="C2" s="7">
        <f>2115649+96473+J15</f>
        <v>2800502.35</v>
      </c>
      <c r="D2" t="s">
        <v>51</v>
      </c>
    </row>
    <row r="3" spans="1:11" x14ac:dyDescent="0.25">
      <c r="A3" t="s">
        <v>44</v>
      </c>
      <c r="C3" s="10">
        <f>1522794+J21</f>
        <v>2862656.2299999995</v>
      </c>
      <c r="D3" t="s">
        <v>69</v>
      </c>
    </row>
    <row r="4" spans="1:11" x14ac:dyDescent="0.25">
      <c r="A4" t="s">
        <v>45</v>
      </c>
      <c r="C4" s="4">
        <f>C3+C2</f>
        <v>5663158.5800000001</v>
      </c>
    </row>
    <row r="6" spans="1:11" x14ac:dyDescent="0.25">
      <c r="A6" s="12" t="s">
        <v>46</v>
      </c>
      <c r="C6" s="7">
        <v>1819414</v>
      </c>
      <c r="D6" t="s">
        <v>53</v>
      </c>
      <c r="J6" s="19" t="s">
        <v>56</v>
      </c>
    </row>
    <row r="7" spans="1:11" x14ac:dyDescent="0.25">
      <c r="A7" t="s">
        <v>47</v>
      </c>
      <c r="C7" s="4">
        <f>C6/12*10</f>
        <v>1516178.3333333335</v>
      </c>
      <c r="J7" s="14">
        <v>59861.61</v>
      </c>
      <c r="K7" t="s">
        <v>58</v>
      </c>
    </row>
    <row r="8" spans="1:11" x14ac:dyDescent="0.25">
      <c r="A8" s="12" t="s">
        <v>72</v>
      </c>
      <c r="C8" s="4">
        <v>1731427</v>
      </c>
      <c r="D8" t="s">
        <v>53</v>
      </c>
      <c r="J8" s="21">
        <v>10618.39</v>
      </c>
      <c r="K8" t="s">
        <v>59</v>
      </c>
    </row>
    <row r="9" spans="1:11" x14ac:dyDescent="0.25">
      <c r="A9" s="12" t="s">
        <v>57</v>
      </c>
      <c r="C9" s="4">
        <v>1731427</v>
      </c>
      <c r="D9" t="s">
        <v>53</v>
      </c>
      <c r="J9" s="21">
        <v>141000</v>
      </c>
      <c r="K9" t="s">
        <v>61</v>
      </c>
    </row>
    <row r="10" spans="1:11" x14ac:dyDescent="0.25">
      <c r="A10" t="s">
        <v>71</v>
      </c>
      <c r="C10" s="15">
        <f>C9/12*9</f>
        <v>1298570.25</v>
      </c>
      <c r="J10" s="21">
        <v>145142</v>
      </c>
      <c r="K10" t="s">
        <v>62</v>
      </c>
    </row>
    <row r="11" spans="1:11" x14ac:dyDescent="0.25">
      <c r="A11" s="12" t="s">
        <v>49</v>
      </c>
      <c r="C11" s="4">
        <f>C7+C8+C10</f>
        <v>4546175.583333334</v>
      </c>
      <c r="J11" s="21">
        <v>124112</v>
      </c>
      <c r="K11" t="s">
        <v>63</v>
      </c>
    </row>
    <row r="12" spans="1:11" x14ac:dyDescent="0.25">
      <c r="A12" s="12" t="s">
        <v>52</v>
      </c>
      <c r="C12" s="17">
        <f>C4-C11</f>
        <v>1116982.9966666661</v>
      </c>
      <c r="J12" s="23">
        <v>154770.35</v>
      </c>
      <c r="K12" t="s">
        <v>64</v>
      </c>
    </row>
    <row r="13" spans="1:11" x14ac:dyDescent="0.25">
      <c r="J13" s="23">
        <v>5816</v>
      </c>
      <c r="K13" t="s">
        <v>65</v>
      </c>
    </row>
    <row r="14" spans="1:11" x14ac:dyDescent="0.25">
      <c r="J14" s="23">
        <v>-52940</v>
      </c>
      <c r="K14" t="s">
        <v>66</v>
      </c>
    </row>
    <row r="15" spans="1:11" x14ac:dyDescent="0.25">
      <c r="J15" s="20">
        <f>SUM(J7:J14)</f>
        <v>588380.35</v>
      </c>
    </row>
    <row r="17" spans="7:11" x14ac:dyDescent="0.25">
      <c r="G17" s="14"/>
    </row>
    <row r="18" spans="7:11" x14ac:dyDescent="0.25">
      <c r="G18" s="14"/>
    </row>
    <row r="19" spans="7:11" x14ac:dyDescent="0.25">
      <c r="G19" s="14"/>
    </row>
    <row r="20" spans="7:11" x14ac:dyDescent="0.25">
      <c r="J20" s="19" t="s">
        <v>55</v>
      </c>
    </row>
    <row r="21" spans="7:11" x14ac:dyDescent="0.25">
      <c r="J21" s="22">
        <v>1339862.2299999997</v>
      </c>
      <c r="K21" t="s">
        <v>73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2031D-09D9-40FB-8533-E8385ED4D6F8}">
  <dimension ref="A1:C16"/>
  <sheetViews>
    <sheetView workbookViewId="0">
      <selection activeCell="D19" sqref="D19"/>
    </sheetView>
  </sheetViews>
  <sheetFormatPr defaultRowHeight="15" x14ac:dyDescent="0.25"/>
  <cols>
    <col min="2" max="2" width="12.5703125" bestFit="1" customWidth="1"/>
  </cols>
  <sheetData>
    <row r="1" spans="1:3" x14ac:dyDescent="0.25">
      <c r="A1" s="6" t="s">
        <v>41</v>
      </c>
    </row>
    <row r="2" spans="1:3" x14ac:dyDescent="0.25">
      <c r="A2" t="s">
        <v>39</v>
      </c>
      <c r="B2" t="s">
        <v>38</v>
      </c>
    </row>
    <row r="3" spans="1:3" x14ac:dyDescent="0.25">
      <c r="A3">
        <v>2015</v>
      </c>
      <c r="B3" s="4">
        <v>614248</v>
      </c>
      <c r="C3" t="s">
        <v>42</v>
      </c>
    </row>
    <row r="4" spans="1:3" x14ac:dyDescent="0.25">
      <c r="A4">
        <v>2016</v>
      </c>
      <c r="B4" s="4">
        <v>659033</v>
      </c>
      <c r="C4" t="s">
        <v>42</v>
      </c>
    </row>
    <row r="5" spans="1:3" x14ac:dyDescent="0.25">
      <c r="A5">
        <v>2017</v>
      </c>
      <c r="B5" s="4">
        <v>858900</v>
      </c>
      <c r="C5" t="s">
        <v>42</v>
      </c>
    </row>
    <row r="6" spans="1:3" x14ac:dyDescent="0.25">
      <c r="A6">
        <v>2018</v>
      </c>
      <c r="B6" s="4">
        <v>711458</v>
      </c>
      <c r="C6" t="s">
        <v>42</v>
      </c>
    </row>
    <row r="7" spans="1:3" x14ac:dyDescent="0.25">
      <c r="A7">
        <v>2019</v>
      </c>
      <c r="B7" s="15">
        <v>734269</v>
      </c>
      <c r="C7" t="s">
        <v>42</v>
      </c>
    </row>
    <row r="8" spans="1:3" x14ac:dyDescent="0.25">
      <c r="B8" s="4">
        <f>SUM(B3:B7)</f>
        <v>3577908</v>
      </c>
    </row>
    <row r="9" spans="1:3" x14ac:dyDescent="0.25">
      <c r="B9" s="4">
        <f>B8/5</f>
        <v>715581.6</v>
      </c>
      <c r="C9" t="s">
        <v>36</v>
      </c>
    </row>
    <row r="10" spans="1:3" x14ac:dyDescent="0.25">
      <c r="B10" s="3">
        <f>B9/12</f>
        <v>59631.799999999996</v>
      </c>
      <c r="C10" t="s">
        <v>37</v>
      </c>
    </row>
    <row r="12" spans="1:3" x14ac:dyDescent="0.25">
      <c r="B12" s="15">
        <v>149727</v>
      </c>
      <c r="C12" t="s">
        <v>85</v>
      </c>
    </row>
    <row r="13" spans="1:3" x14ac:dyDescent="0.25">
      <c r="B13" s="3">
        <f>B9-B12</f>
        <v>565854.6</v>
      </c>
      <c r="C13" t="s">
        <v>40</v>
      </c>
    </row>
    <row r="14" spans="1:3" x14ac:dyDescent="0.25">
      <c r="B14" s="3">
        <f>B10*12</f>
        <v>715581.6</v>
      </c>
      <c r="C14" t="s">
        <v>60</v>
      </c>
    </row>
    <row r="15" spans="1:3" x14ac:dyDescent="0.25">
      <c r="B15" s="18">
        <f>B10*9</f>
        <v>536686.19999999995</v>
      </c>
      <c r="C15" t="s">
        <v>67</v>
      </c>
    </row>
    <row r="16" spans="1:3" x14ac:dyDescent="0.25">
      <c r="B16" s="3">
        <f>B14+B13+B15</f>
        <v>1818122.4</v>
      </c>
      <c r="C16" t="s">
        <v>74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84DDF-EDD5-4B12-9700-73AD393C5E8C}">
  <dimension ref="A1:G24"/>
  <sheetViews>
    <sheetView workbookViewId="0">
      <selection activeCell="B30" sqref="B30"/>
    </sheetView>
  </sheetViews>
  <sheetFormatPr defaultRowHeight="15" x14ac:dyDescent="0.25"/>
  <cols>
    <col min="2" max="2" width="16.28515625" bestFit="1" customWidth="1"/>
    <col min="3" max="3" width="14.28515625" bestFit="1" customWidth="1"/>
    <col min="4" max="4" width="11.5703125" bestFit="1" customWidth="1"/>
    <col min="5" max="5" width="25" bestFit="1" customWidth="1"/>
    <col min="6" max="6" width="13.28515625" bestFit="1" customWidth="1"/>
    <col min="7" max="7" width="11.140625" bestFit="1" customWidth="1"/>
    <col min="8" max="8" width="9.140625" bestFit="1" customWidth="1"/>
    <col min="9" max="9" width="23.42578125" bestFit="1" customWidth="1"/>
  </cols>
  <sheetData>
    <row r="1" spans="1:7" x14ac:dyDescent="0.25">
      <c r="B1" t="s">
        <v>17</v>
      </c>
      <c r="C1" t="s">
        <v>18</v>
      </c>
      <c r="D1" t="s">
        <v>19</v>
      </c>
      <c r="E1" t="s">
        <v>20</v>
      </c>
      <c r="F1" s="13">
        <f>(0.00425+0.00635)/2</f>
        <v>5.3E-3</v>
      </c>
      <c r="G1" t="s">
        <v>75</v>
      </c>
    </row>
    <row r="2" spans="1:7" x14ac:dyDescent="0.25">
      <c r="E2" t="s">
        <v>21</v>
      </c>
      <c r="F2" s="14">
        <v>2750000</v>
      </c>
    </row>
    <row r="3" spans="1:7" x14ac:dyDescent="0.25">
      <c r="A3" t="s">
        <v>22</v>
      </c>
      <c r="B3" s="14">
        <f>F2</f>
        <v>2750000</v>
      </c>
      <c r="C3" s="14"/>
      <c r="D3" s="2">
        <f>B3*$F$1/12</f>
        <v>1214.5833333333333</v>
      </c>
      <c r="F3" s="24">
        <v>3.2000000000000001E-2</v>
      </c>
      <c r="G3" t="s">
        <v>86</v>
      </c>
    </row>
    <row r="4" spans="1:7" x14ac:dyDescent="0.25">
      <c r="A4" t="s">
        <v>23</v>
      </c>
      <c r="B4" s="14">
        <f>B3</f>
        <v>2750000</v>
      </c>
      <c r="C4" s="14">
        <f>B4+B3</f>
        <v>5500000</v>
      </c>
      <c r="D4" s="2">
        <f t="shared" ref="D4:D11" si="0">C4*$F$1/12</f>
        <v>2429.1666666666665</v>
      </c>
    </row>
    <row r="5" spans="1:7" x14ac:dyDescent="0.25">
      <c r="A5" t="s">
        <v>24</v>
      </c>
      <c r="B5" s="14">
        <f t="shared" ref="B5:B11" si="1">B4</f>
        <v>2750000</v>
      </c>
      <c r="C5" s="14">
        <f>C4+B5</f>
        <v>8250000</v>
      </c>
      <c r="D5" s="2">
        <f t="shared" si="0"/>
        <v>3643.75</v>
      </c>
    </row>
    <row r="6" spans="1:7" x14ac:dyDescent="0.25">
      <c r="A6" t="s">
        <v>25</v>
      </c>
      <c r="B6" s="14">
        <f t="shared" si="1"/>
        <v>2750000</v>
      </c>
      <c r="C6" s="14">
        <f t="shared" ref="C6:C11" si="2">C5+B6</f>
        <v>11000000</v>
      </c>
      <c r="D6" s="2">
        <f t="shared" si="0"/>
        <v>4858.333333333333</v>
      </c>
    </row>
    <row r="7" spans="1:7" x14ac:dyDescent="0.25">
      <c r="A7" t="s">
        <v>26</v>
      </c>
      <c r="B7" s="14">
        <f t="shared" si="1"/>
        <v>2750000</v>
      </c>
      <c r="C7" s="14">
        <f t="shared" si="2"/>
        <v>13750000</v>
      </c>
      <c r="D7" s="2">
        <f t="shared" si="0"/>
        <v>6072.916666666667</v>
      </c>
    </row>
    <row r="8" spans="1:7" x14ac:dyDescent="0.25">
      <c r="A8" t="s">
        <v>27</v>
      </c>
      <c r="B8" s="14">
        <f t="shared" si="1"/>
        <v>2750000</v>
      </c>
      <c r="C8" s="14">
        <f t="shared" si="2"/>
        <v>16500000</v>
      </c>
      <c r="D8" s="2">
        <f t="shared" si="0"/>
        <v>7287.5</v>
      </c>
    </row>
    <row r="9" spans="1:7" x14ac:dyDescent="0.25">
      <c r="A9" t="s">
        <v>28</v>
      </c>
      <c r="B9" s="14">
        <f t="shared" si="1"/>
        <v>2750000</v>
      </c>
      <c r="C9" s="14">
        <f t="shared" si="2"/>
        <v>19250000</v>
      </c>
      <c r="D9" s="2">
        <f t="shared" si="0"/>
        <v>8502.0833333333339</v>
      </c>
    </row>
    <row r="10" spans="1:7" x14ac:dyDescent="0.25">
      <c r="A10" t="s">
        <v>29</v>
      </c>
      <c r="B10" s="14">
        <f t="shared" si="1"/>
        <v>2750000</v>
      </c>
      <c r="C10" s="14">
        <f t="shared" si="2"/>
        <v>22000000</v>
      </c>
      <c r="D10" s="2">
        <f t="shared" si="0"/>
        <v>9716.6666666666661</v>
      </c>
    </row>
    <row r="11" spans="1:7" x14ac:dyDescent="0.25">
      <c r="A11" t="s">
        <v>30</v>
      </c>
      <c r="B11" s="14">
        <f t="shared" si="1"/>
        <v>2750000</v>
      </c>
      <c r="C11" s="14">
        <f t="shared" si="2"/>
        <v>24750000</v>
      </c>
      <c r="D11" s="2">
        <f t="shared" si="0"/>
        <v>10931.25</v>
      </c>
    </row>
    <row r="12" spans="1:7" x14ac:dyDescent="0.25">
      <c r="D12" s="2">
        <f>SUM(D3:D11)</f>
        <v>54656.25</v>
      </c>
      <c r="E12" t="s">
        <v>31</v>
      </c>
    </row>
    <row r="13" spans="1:7" x14ac:dyDescent="0.25">
      <c r="D13" s="2">
        <f>C11*F1</f>
        <v>131175</v>
      </c>
      <c r="E13" t="s">
        <v>32</v>
      </c>
    </row>
    <row r="14" spans="1:7" x14ac:dyDescent="0.25">
      <c r="D14" s="2">
        <f>C11/2*F1/2</f>
        <v>32793.75</v>
      </c>
      <c r="E14" t="s">
        <v>76</v>
      </c>
    </row>
    <row r="15" spans="1:7" x14ac:dyDescent="0.25">
      <c r="D15" s="2">
        <f>C11/2*F3/2</f>
        <v>198000</v>
      </c>
      <c r="E15" t="s">
        <v>77</v>
      </c>
    </row>
    <row r="16" spans="1:7" x14ac:dyDescent="0.25">
      <c r="D16" s="2">
        <f>D12+D13+D14+D15</f>
        <v>416625</v>
      </c>
      <c r="E16" t="s">
        <v>33</v>
      </c>
    </row>
    <row r="17" spans="1:5" x14ac:dyDescent="0.25">
      <c r="D17" s="2">
        <f>D12+D13+D14+D15/2</f>
        <v>317625</v>
      </c>
      <c r="E17" t="s">
        <v>78</v>
      </c>
    </row>
    <row r="19" spans="1:5" x14ac:dyDescent="0.25">
      <c r="C19" s="26" t="s">
        <v>158</v>
      </c>
      <c r="D19" s="49">
        <v>50400</v>
      </c>
    </row>
    <row r="20" spans="1:5" x14ac:dyDescent="0.25">
      <c r="D20" s="2">
        <f>SUM(D17:D19)</f>
        <v>368025</v>
      </c>
      <c r="E20" t="s">
        <v>159</v>
      </c>
    </row>
    <row r="23" spans="1:5" x14ac:dyDescent="0.25">
      <c r="A23" t="s">
        <v>79</v>
      </c>
    </row>
    <row r="24" spans="1:5" x14ac:dyDescent="0.25">
      <c r="A24" t="s">
        <v>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235DA-4A73-4A40-AF61-47F7CC8A6998}">
  <sheetPr filterMode="1"/>
  <dimension ref="A4:N52"/>
  <sheetViews>
    <sheetView zoomScale="90" zoomScaleNormal="90" workbookViewId="0">
      <pane xSplit="2" ySplit="7" topLeftCell="C15" activePane="bottomRight" state="frozen"/>
      <selection pane="topRight" activeCell="I1" sqref="I1"/>
      <selection pane="bottomLeft" activeCell="A8" sqref="A8"/>
      <selection pane="bottomRight" activeCell="D22" sqref="D22"/>
    </sheetView>
  </sheetViews>
  <sheetFormatPr defaultRowHeight="15" x14ac:dyDescent="0.25"/>
  <cols>
    <col min="2" max="2" width="37.140625" bestFit="1" customWidth="1"/>
    <col min="3" max="3" width="19.7109375" customWidth="1"/>
    <col min="4" max="4" width="15.85546875" bestFit="1" customWidth="1"/>
    <col min="5" max="8" width="15.85546875" customWidth="1"/>
    <col min="9" max="9" width="17" bestFit="1" customWidth="1"/>
    <col min="10" max="10" width="20.85546875" bestFit="1" customWidth="1"/>
    <col min="11" max="11" width="15.7109375" bestFit="1" customWidth="1"/>
    <col min="13" max="14" width="9.85546875" bestFit="1" customWidth="1"/>
  </cols>
  <sheetData>
    <row r="4" spans="1:12" x14ac:dyDescent="0.25">
      <c r="C4" t="s">
        <v>162</v>
      </c>
    </row>
    <row r="6" spans="1:12" x14ac:dyDescent="0.25">
      <c r="C6" s="32" t="s">
        <v>157</v>
      </c>
      <c r="D6" s="32" t="s">
        <v>153</v>
      </c>
      <c r="E6" s="32" t="s">
        <v>156</v>
      </c>
      <c r="F6" s="32" t="s">
        <v>153</v>
      </c>
      <c r="G6" s="32" t="s">
        <v>155</v>
      </c>
      <c r="H6" s="32" t="s">
        <v>154</v>
      </c>
      <c r="I6" s="32" t="s">
        <v>153</v>
      </c>
      <c r="J6" s="32" t="s">
        <v>152</v>
      </c>
      <c r="K6" s="32" t="s">
        <v>151</v>
      </c>
    </row>
    <row r="7" spans="1:12" x14ac:dyDescent="0.25">
      <c r="C7" s="32" t="s">
        <v>150</v>
      </c>
      <c r="D7" s="32" t="s">
        <v>149</v>
      </c>
      <c r="E7" s="32" t="s">
        <v>148</v>
      </c>
      <c r="F7" s="32" t="s">
        <v>147</v>
      </c>
      <c r="G7" s="32" t="s">
        <v>146</v>
      </c>
      <c r="H7" s="51">
        <v>44651</v>
      </c>
      <c r="I7" s="32" t="s">
        <v>145</v>
      </c>
      <c r="J7" s="32" t="s">
        <v>144</v>
      </c>
      <c r="K7" s="32" t="s">
        <v>143</v>
      </c>
      <c r="L7" t="s">
        <v>142</v>
      </c>
    </row>
    <row r="9" spans="1:12" x14ac:dyDescent="0.25">
      <c r="A9" t="s">
        <v>141</v>
      </c>
    </row>
    <row r="10" spans="1:12" x14ac:dyDescent="0.25">
      <c r="A10" t="s">
        <v>140</v>
      </c>
    </row>
    <row r="11" spans="1:12" x14ac:dyDescent="0.25">
      <c r="A11">
        <v>503100</v>
      </c>
      <c r="B11" t="s">
        <v>139</v>
      </c>
      <c r="C11" s="14">
        <v>222625.61</v>
      </c>
      <c r="D11" s="45">
        <v>542889.78</v>
      </c>
      <c r="E11" s="50">
        <f>D11-C11</f>
        <v>320264.17000000004</v>
      </c>
      <c r="F11" s="45">
        <v>268918.39</v>
      </c>
      <c r="G11" s="45">
        <v>96051.75</v>
      </c>
      <c r="H11" s="50">
        <f>F11+E11+G11</f>
        <v>685234.31</v>
      </c>
      <c r="I11" s="45">
        <v>1345512.26</v>
      </c>
      <c r="J11" s="50">
        <f>I11/12*25</f>
        <v>2803150.5416666665</v>
      </c>
      <c r="K11" s="50">
        <f>H11-J11</f>
        <v>-2117916.2316666665</v>
      </c>
      <c r="L11" t="s">
        <v>112</v>
      </c>
    </row>
    <row r="12" spans="1:12" hidden="1" x14ac:dyDescent="0.25">
      <c r="A12">
        <v>503104</v>
      </c>
      <c r="B12" t="s">
        <v>138</v>
      </c>
      <c r="C12">
        <v>0</v>
      </c>
      <c r="D12">
        <v>0</v>
      </c>
      <c r="E12" s="50">
        <f>D12-C12</f>
        <v>0</v>
      </c>
      <c r="F12" s="45">
        <v>0</v>
      </c>
      <c r="G12" s="45">
        <v>0</v>
      </c>
      <c r="H12" s="50">
        <f>F12+E12+G12</f>
        <v>0</v>
      </c>
      <c r="I12" s="45">
        <v>25834.799999999999</v>
      </c>
      <c r="J12" s="50">
        <f>I12/12*25</f>
        <v>53822.5</v>
      </c>
      <c r="K12" s="50">
        <f>H12-J12</f>
        <v>-53822.5</v>
      </c>
      <c r="L12" t="s">
        <v>103</v>
      </c>
    </row>
    <row r="13" spans="1:12" x14ac:dyDescent="0.25">
      <c r="A13">
        <v>503105</v>
      </c>
      <c r="B13" t="s">
        <v>137</v>
      </c>
      <c r="C13" s="14">
        <v>79817.37</v>
      </c>
      <c r="D13" s="45">
        <v>288795.94</v>
      </c>
      <c r="E13" s="50">
        <f>D13-C13</f>
        <v>208978.57</v>
      </c>
      <c r="F13" s="45">
        <v>181312.93</v>
      </c>
      <c r="G13" s="45">
        <v>19698.03</v>
      </c>
      <c r="H13" s="50">
        <f>F13+E13+G13</f>
        <v>409989.53</v>
      </c>
      <c r="I13" s="45">
        <v>229134.62</v>
      </c>
      <c r="J13" s="50">
        <f>I13/12*25</f>
        <v>477363.79166666663</v>
      </c>
      <c r="K13" s="50">
        <f>H13-J13</f>
        <v>-67374.2616666666</v>
      </c>
      <c r="L13" t="s">
        <v>112</v>
      </c>
    </row>
    <row r="14" spans="1:12" x14ac:dyDescent="0.25">
      <c r="A14">
        <v>503106</v>
      </c>
      <c r="B14" t="s">
        <v>136</v>
      </c>
      <c r="C14" s="14">
        <v>13703.38</v>
      </c>
      <c r="D14" s="45">
        <v>32882.019999999997</v>
      </c>
      <c r="E14" s="50">
        <f>D14-C14</f>
        <v>19178.64</v>
      </c>
      <c r="F14" s="45">
        <v>84656.34</v>
      </c>
      <c r="G14" s="45">
        <v>0</v>
      </c>
      <c r="H14" s="50">
        <f>F14+E14+G14</f>
        <v>103834.98</v>
      </c>
      <c r="I14" s="45">
        <v>339309.29</v>
      </c>
      <c r="J14" s="50">
        <f>I14/12*25</f>
        <v>706894.35416666663</v>
      </c>
      <c r="K14" s="50">
        <f>H14-J14</f>
        <v>-603059.37416666665</v>
      </c>
      <c r="L14" t="s">
        <v>112</v>
      </c>
    </row>
    <row r="15" spans="1:12" x14ac:dyDescent="0.25">
      <c r="A15">
        <v>503107</v>
      </c>
      <c r="B15" t="s">
        <v>135</v>
      </c>
      <c r="C15" s="14">
        <v>183903.27</v>
      </c>
      <c r="D15" s="45">
        <v>790238.29</v>
      </c>
      <c r="E15" s="50">
        <f>D15-C15</f>
        <v>606335.02</v>
      </c>
      <c r="F15" s="45">
        <v>793732.39</v>
      </c>
      <c r="G15" s="45">
        <v>212749.29</v>
      </c>
      <c r="H15" s="50">
        <f>F15+E15+G15</f>
        <v>1612816.7000000002</v>
      </c>
      <c r="I15" s="45">
        <v>986206.84</v>
      </c>
      <c r="J15" s="50">
        <f>I15/12*25</f>
        <v>2054597.5833333335</v>
      </c>
      <c r="K15" s="50">
        <f>H15-J15</f>
        <v>-441780.8833333333</v>
      </c>
      <c r="L15" t="s">
        <v>112</v>
      </c>
    </row>
    <row r="16" spans="1:12" hidden="1" x14ac:dyDescent="0.25">
      <c r="A16">
        <v>503108</v>
      </c>
      <c r="B16" t="s">
        <v>134</v>
      </c>
      <c r="C16">
        <v>0</v>
      </c>
      <c r="D16" s="45">
        <v>29077.919999999998</v>
      </c>
      <c r="E16" s="50">
        <f>D16-C16</f>
        <v>29077.919999999998</v>
      </c>
      <c r="F16" s="45">
        <v>11044.49</v>
      </c>
      <c r="G16" s="45">
        <v>3537.9</v>
      </c>
      <c r="H16" s="50">
        <f>F16+E16+G16</f>
        <v>43660.31</v>
      </c>
      <c r="I16" s="45">
        <v>13222.9</v>
      </c>
      <c r="J16" s="50">
        <f>I16/12*25</f>
        <v>27547.708333333332</v>
      </c>
      <c r="K16" s="50">
        <f>H16-J16</f>
        <v>16112.601666666666</v>
      </c>
      <c r="L16" t="s">
        <v>103</v>
      </c>
    </row>
    <row r="17" spans="1:14" x14ac:dyDescent="0.25">
      <c r="A17">
        <v>503109</v>
      </c>
      <c r="B17" t="s">
        <v>133</v>
      </c>
      <c r="C17" s="14">
        <v>-184407.39</v>
      </c>
      <c r="D17" s="45">
        <v>-820080.3</v>
      </c>
      <c r="E17" s="50">
        <f>D17-C17</f>
        <v>-635672.91</v>
      </c>
      <c r="F17" s="45">
        <v>-804776.88</v>
      </c>
      <c r="G17" s="45">
        <v>-216287.19</v>
      </c>
      <c r="H17" s="50">
        <f>F17+E17+G17</f>
        <v>-1656736.98</v>
      </c>
      <c r="I17" s="45">
        <v>-1000750.06</v>
      </c>
      <c r="J17" s="50">
        <f>I17/12*25</f>
        <v>-2084895.9583333333</v>
      </c>
      <c r="K17" s="50">
        <f>H17-J17</f>
        <v>428158.97833333327</v>
      </c>
      <c r="L17" t="s">
        <v>112</v>
      </c>
    </row>
    <row r="18" spans="1:14" x14ac:dyDescent="0.25">
      <c r="A18">
        <v>503110</v>
      </c>
      <c r="B18" t="s">
        <v>132</v>
      </c>
      <c r="C18" s="14">
        <v>448808.93</v>
      </c>
      <c r="D18" s="45">
        <v>1989592.13</v>
      </c>
      <c r="E18" s="50">
        <f>D18-C18</f>
        <v>1540783.2</v>
      </c>
      <c r="F18" s="45">
        <v>1707483.52</v>
      </c>
      <c r="G18" s="45">
        <v>411621.38</v>
      </c>
      <c r="H18" s="50">
        <f>F18+E18+G18</f>
        <v>3659888.0999999996</v>
      </c>
      <c r="I18" s="45">
        <v>3263530.72</v>
      </c>
      <c r="J18" s="50">
        <f>I18/12*25</f>
        <v>6799022.333333334</v>
      </c>
      <c r="K18" s="50">
        <f>H18-J18</f>
        <v>-3139134.2333333343</v>
      </c>
      <c r="L18" t="s">
        <v>112</v>
      </c>
    </row>
    <row r="19" spans="1:14" x14ac:dyDescent="0.25">
      <c r="A19">
        <v>503111</v>
      </c>
      <c r="B19" t="s">
        <v>131</v>
      </c>
      <c r="C19" s="14">
        <v>4787.49</v>
      </c>
      <c r="D19" s="45">
        <v>22658.17</v>
      </c>
      <c r="E19" s="50">
        <f>D19-C19</f>
        <v>17870.68</v>
      </c>
      <c r="F19" s="45">
        <v>17543.41</v>
      </c>
      <c r="G19" s="45">
        <v>3106.62</v>
      </c>
      <c r="H19" s="50">
        <f>F19+E19+G19</f>
        <v>38520.71</v>
      </c>
      <c r="I19" s="45">
        <v>197804.87</v>
      </c>
      <c r="J19" s="50">
        <f>I19/12*25</f>
        <v>412093.47916666663</v>
      </c>
      <c r="K19" s="50">
        <f>H19-J19</f>
        <v>-373572.76916666661</v>
      </c>
      <c r="L19" t="s">
        <v>112</v>
      </c>
    </row>
    <row r="20" spans="1:14" x14ac:dyDescent="0.25">
      <c r="A20">
        <v>503115</v>
      </c>
      <c r="B20" t="s">
        <v>130</v>
      </c>
      <c r="C20" s="14">
        <v>178100.25</v>
      </c>
      <c r="D20" s="45">
        <v>555186.76</v>
      </c>
      <c r="E20" s="50">
        <f>D20-C20</f>
        <v>377086.51</v>
      </c>
      <c r="F20" s="45">
        <v>411956.85</v>
      </c>
      <c r="G20" s="45">
        <v>116007.47</v>
      </c>
      <c r="H20" s="50">
        <f>F20+E20+G20</f>
        <v>905050.83</v>
      </c>
      <c r="I20" s="45">
        <v>632222.44999999995</v>
      </c>
      <c r="J20" s="50">
        <f>I20/12*25</f>
        <v>1317130.1041666665</v>
      </c>
      <c r="K20" s="50">
        <f>H20-J20</f>
        <v>-412079.27416666655</v>
      </c>
      <c r="L20" t="s">
        <v>112</v>
      </c>
    </row>
    <row r="21" spans="1:14" x14ac:dyDescent="0.25">
      <c r="A21">
        <v>503120</v>
      </c>
      <c r="B21" t="s">
        <v>129</v>
      </c>
      <c r="C21" s="14">
        <v>133449.62</v>
      </c>
      <c r="D21" s="45">
        <v>558264.92000000004</v>
      </c>
      <c r="E21" s="50">
        <f>D21-C21</f>
        <v>424815.30000000005</v>
      </c>
      <c r="F21" s="45">
        <v>415953.08</v>
      </c>
      <c r="G21" s="45">
        <v>101834.08</v>
      </c>
      <c r="H21" s="50">
        <f>F21+E21+G21</f>
        <v>942602.46000000008</v>
      </c>
      <c r="I21" s="45">
        <v>845383.35</v>
      </c>
      <c r="J21" s="50">
        <f>I21/12*25</f>
        <v>1761215.3125</v>
      </c>
      <c r="K21" s="50">
        <f>H21-J21</f>
        <v>-818612.85249999992</v>
      </c>
      <c r="L21" t="s">
        <v>112</v>
      </c>
    </row>
    <row r="22" spans="1:14" x14ac:dyDescent="0.25">
      <c r="A22">
        <v>503125</v>
      </c>
      <c r="B22" t="s">
        <v>128</v>
      </c>
      <c r="C22" s="14">
        <v>34032.660000000003</v>
      </c>
      <c r="D22" s="45">
        <v>114035.48</v>
      </c>
      <c r="E22" s="50">
        <f>D22-C22</f>
        <v>80002.819999999992</v>
      </c>
      <c r="F22" s="45">
        <v>115110.04</v>
      </c>
      <c r="G22" s="45">
        <v>31944.37</v>
      </c>
      <c r="H22" s="50">
        <f>F22+E22+G22</f>
        <v>227057.22999999998</v>
      </c>
      <c r="I22" s="45">
        <v>290578.64</v>
      </c>
      <c r="J22" s="50">
        <f>I22/12*25</f>
        <v>605372.16666666674</v>
      </c>
      <c r="K22" s="50">
        <f>H22-J22</f>
        <v>-378314.93666666676</v>
      </c>
      <c r="L22" t="s">
        <v>112</v>
      </c>
    </row>
    <row r="23" spans="1:14" hidden="1" x14ac:dyDescent="0.25">
      <c r="A23">
        <v>503130</v>
      </c>
      <c r="B23" t="s">
        <v>127</v>
      </c>
      <c r="C23" s="14">
        <v>16501.52</v>
      </c>
      <c r="D23" s="45">
        <v>44379.19</v>
      </c>
      <c r="E23" s="50">
        <f>D23-C23</f>
        <v>27877.670000000002</v>
      </c>
      <c r="F23" s="45">
        <v>11832.44</v>
      </c>
      <c r="G23" s="45">
        <v>3529.16</v>
      </c>
      <c r="H23" s="50">
        <f>F23+E23+G23</f>
        <v>43239.270000000004</v>
      </c>
      <c r="I23" s="45">
        <v>72473.320000000007</v>
      </c>
      <c r="J23" s="50">
        <f>I23/12*25</f>
        <v>150986.08333333334</v>
      </c>
      <c r="K23" s="50">
        <f>H23-J23</f>
        <v>-107746.81333333334</v>
      </c>
      <c r="L23" t="s">
        <v>103</v>
      </c>
    </row>
    <row r="24" spans="1:14" x14ac:dyDescent="0.25">
      <c r="A24">
        <v>503135</v>
      </c>
      <c r="B24" t="s">
        <v>126</v>
      </c>
      <c r="C24" s="14">
        <v>75458.399999999994</v>
      </c>
      <c r="D24" s="45">
        <v>323367.49</v>
      </c>
      <c r="E24" s="50">
        <f>D24-C24</f>
        <v>247909.09</v>
      </c>
      <c r="F24" s="45">
        <v>300251.94</v>
      </c>
      <c r="G24" s="45">
        <v>70662.8</v>
      </c>
      <c r="H24" s="50">
        <f>F24+E24+G24</f>
        <v>618823.83000000007</v>
      </c>
      <c r="I24" s="45">
        <v>538223.74</v>
      </c>
      <c r="J24" s="50">
        <f>I24/12*25</f>
        <v>1121299.4583333333</v>
      </c>
      <c r="K24" s="50">
        <f>H24-J24</f>
        <v>-502475.62833333318</v>
      </c>
      <c r="L24" t="s">
        <v>112</v>
      </c>
    </row>
    <row r="25" spans="1:14" x14ac:dyDescent="0.25">
      <c r="A25">
        <v>503136</v>
      </c>
      <c r="B25" t="s">
        <v>125</v>
      </c>
      <c r="C25" s="14">
        <v>13294.09</v>
      </c>
      <c r="D25" s="45">
        <v>35480.080000000002</v>
      </c>
      <c r="E25" s="50">
        <f>D25-C25</f>
        <v>22185.99</v>
      </c>
      <c r="F25" s="45">
        <v>12583.08</v>
      </c>
      <c r="G25" s="45">
        <v>5125.67</v>
      </c>
      <c r="H25" s="50">
        <f>F25+E25+G25</f>
        <v>39894.74</v>
      </c>
      <c r="I25" s="45">
        <v>71561.2</v>
      </c>
      <c r="J25" s="50">
        <f>I25/12*25</f>
        <v>149085.83333333334</v>
      </c>
      <c r="K25" s="50">
        <f>H25-J25</f>
        <v>-109191.09333333335</v>
      </c>
      <c r="L25" t="s">
        <v>112</v>
      </c>
    </row>
    <row r="26" spans="1:14" hidden="1" x14ac:dyDescent="0.25">
      <c r="A26">
        <v>503137</v>
      </c>
      <c r="B26" t="s">
        <v>124</v>
      </c>
      <c r="C26" s="14">
        <v>148961.43</v>
      </c>
      <c r="D26" s="45">
        <v>626793.82999999996</v>
      </c>
      <c r="E26" s="50">
        <f>D26-C26</f>
        <v>477832.39999999997</v>
      </c>
      <c r="F26" s="45">
        <v>476910.85</v>
      </c>
      <c r="G26" s="45">
        <v>186922.94</v>
      </c>
      <c r="H26" s="50">
        <f>F26+E26+G26</f>
        <v>1141666.19</v>
      </c>
      <c r="I26" s="45">
        <v>388067.5</v>
      </c>
      <c r="J26" s="50">
        <f>I26/12*25</f>
        <v>808473.95833333326</v>
      </c>
      <c r="K26" s="50">
        <f>H26-J26</f>
        <v>333192.23166666669</v>
      </c>
      <c r="L26" t="s">
        <v>103</v>
      </c>
    </row>
    <row r="27" spans="1:14" hidden="1" x14ac:dyDescent="0.25">
      <c r="A27">
        <v>503138</v>
      </c>
      <c r="B27" t="s">
        <v>123</v>
      </c>
      <c r="C27" s="14">
        <v>9.81</v>
      </c>
      <c r="D27">
        <v>9.81</v>
      </c>
      <c r="E27" s="50">
        <f>D27-C27</f>
        <v>0</v>
      </c>
      <c r="F27" s="45">
        <v>0</v>
      </c>
      <c r="G27" s="45">
        <v>0</v>
      </c>
      <c r="H27" s="50">
        <f>F27+E27+G27</f>
        <v>0</v>
      </c>
      <c r="I27">
        <v>15.4</v>
      </c>
      <c r="J27" s="50">
        <f>I27/12*25</f>
        <v>32.083333333333336</v>
      </c>
      <c r="K27" s="50">
        <f>H27-J27</f>
        <v>-32.083333333333336</v>
      </c>
      <c r="L27" t="s">
        <v>103</v>
      </c>
    </row>
    <row r="28" spans="1:14" hidden="1" x14ac:dyDescent="0.25">
      <c r="A28">
        <v>503140</v>
      </c>
      <c r="B28" t="s">
        <v>122</v>
      </c>
      <c r="C28" s="14">
        <v>310556.43</v>
      </c>
      <c r="D28" s="45">
        <v>1835861</v>
      </c>
      <c r="E28" s="50">
        <f>D28-C28</f>
        <v>1525304.57</v>
      </c>
      <c r="F28" s="45">
        <v>2121625.2599999998</v>
      </c>
      <c r="G28" s="45">
        <v>573543.51</v>
      </c>
      <c r="H28" s="50">
        <f>F28+E28+G28</f>
        <v>4220473.34</v>
      </c>
      <c r="I28" s="45">
        <v>1777032.21</v>
      </c>
      <c r="J28" s="50">
        <f>I28/12*25</f>
        <v>3702150.4374999995</v>
      </c>
      <c r="K28" s="50">
        <f>H28-J28</f>
        <v>518322.90250000032</v>
      </c>
      <c r="L28" t="s">
        <v>121</v>
      </c>
      <c r="M28" s="45"/>
      <c r="N28" s="45"/>
    </row>
    <row r="29" spans="1:14" hidden="1" x14ac:dyDescent="0.25">
      <c r="A29">
        <v>503140</v>
      </c>
      <c r="B29" t="s">
        <v>122</v>
      </c>
      <c r="C29" s="14">
        <v>0</v>
      </c>
      <c r="D29">
        <v>0</v>
      </c>
      <c r="E29" s="50">
        <f>D29-C29</f>
        <v>0</v>
      </c>
      <c r="F29" s="45">
        <v>0</v>
      </c>
      <c r="G29" s="45">
        <v>0</v>
      </c>
      <c r="H29" s="50">
        <f>F29+E29+G29</f>
        <v>0</v>
      </c>
      <c r="I29">
        <v>191.11</v>
      </c>
      <c r="J29" s="50">
        <f>I29/12*25</f>
        <v>398.14583333333337</v>
      </c>
      <c r="K29" s="50">
        <f>H29-J29</f>
        <v>-398.14583333333337</v>
      </c>
      <c r="L29" t="s">
        <v>121</v>
      </c>
    </row>
    <row r="30" spans="1:14" x14ac:dyDescent="0.25">
      <c r="A30">
        <v>503150</v>
      </c>
      <c r="B30" t="s">
        <v>120</v>
      </c>
      <c r="C30" s="14">
        <v>176986</v>
      </c>
      <c r="D30" s="45">
        <v>501754.81</v>
      </c>
      <c r="E30" s="50">
        <f>D30-C30</f>
        <v>324768.81</v>
      </c>
      <c r="F30" s="45">
        <v>601927.03</v>
      </c>
      <c r="G30" s="45">
        <v>82232.05</v>
      </c>
      <c r="H30" s="50">
        <f>F30+E30+G30</f>
        <v>1008927.8900000001</v>
      </c>
      <c r="I30" s="45">
        <v>626650.75</v>
      </c>
      <c r="J30" s="50">
        <f>I30/12*25</f>
        <v>1305522.3958333335</v>
      </c>
      <c r="K30" s="50">
        <f>H30-J30</f>
        <v>-296594.50583333336</v>
      </c>
      <c r="L30" t="s">
        <v>112</v>
      </c>
    </row>
    <row r="31" spans="1:14" x14ac:dyDescent="0.25">
      <c r="A31">
        <v>503160</v>
      </c>
      <c r="B31" t="s">
        <v>119</v>
      </c>
      <c r="C31" s="14">
        <v>29904.69</v>
      </c>
      <c r="D31" s="45">
        <v>79539.820000000007</v>
      </c>
      <c r="E31" s="50">
        <f>D31-C31</f>
        <v>49635.130000000005</v>
      </c>
      <c r="F31" s="45">
        <v>65164.37</v>
      </c>
      <c r="G31" s="45">
        <v>22116.880000000001</v>
      </c>
      <c r="H31" s="50">
        <f>F31+E31+G31</f>
        <v>136916.38</v>
      </c>
      <c r="I31" s="45">
        <v>266871.73</v>
      </c>
      <c r="J31" s="50">
        <f>I31/12*25</f>
        <v>555982.77083333337</v>
      </c>
      <c r="K31" s="50">
        <f>H31-J31</f>
        <v>-419066.39083333337</v>
      </c>
      <c r="L31" t="s">
        <v>112</v>
      </c>
    </row>
    <row r="32" spans="1:14" hidden="1" x14ac:dyDescent="0.25">
      <c r="A32">
        <v>503170</v>
      </c>
      <c r="B32" t="s">
        <v>118</v>
      </c>
      <c r="C32" s="14">
        <v>46911.1</v>
      </c>
      <c r="D32" s="45">
        <v>188420.3</v>
      </c>
      <c r="E32" s="50">
        <f>D32-C32</f>
        <v>141509.19999999998</v>
      </c>
      <c r="F32" s="45">
        <v>232553.85</v>
      </c>
      <c r="G32" s="45">
        <v>65965.31</v>
      </c>
      <c r="H32" s="50">
        <f>F32+E32+G32</f>
        <v>440028.36</v>
      </c>
      <c r="I32" s="45">
        <v>395952.48</v>
      </c>
      <c r="J32" s="50">
        <f>I32/12*25</f>
        <v>824901</v>
      </c>
      <c r="K32" s="50">
        <f>H32-J32</f>
        <v>-384872.64</v>
      </c>
      <c r="L32" t="s">
        <v>103</v>
      </c>
    </row>
    <row r="33" spans="1:12" x14ac:dyDescent="0.25">
      <c r="A33">
        <v>503185</v>
      </c>
      <c r="B33" t="s">
        <v>117</v>
      </c>
      <c r="C33" s="14">
        <v>110611.76</v>
      </c>
      <c r="D33" s="45">
        <v>515350.56</v>
      </c>
      <c r="E33" s="50">
        <f>D33-C33</f>
        <v>404738.8</v>
      </c>
      <c r="F33" s="45">
        <v>528952.43999999994</v>
      </c>
      <c r="G33" s="45">
        <v>131985.71</v>
      </c>
      <c r="H33" s="50">
        <f>F33+E33+G33</f>
        <v>1065676.95</v>
      </c>
      <c r="I33" s="45">
        <v>673248.63</v>
      </c>
      <c r="J33" s="50">
        <f>I33/12*25</f>
        <v>1402601.3125</v>
      </c>
      <c r="K33" s="50">
        <f>H33-J33</f>
        <v>-336924.36250000005</v>
      </c>
      <c r="L33" t="s">
        <v>112</v>
      </c>
    </row>
    <row r="34" spans="1:12" x14ac:dyDescent="0.25">
      <c r="A34">
        <v>503190</v>
      </c>
      <c r="B34" t="s">
        <v>116</v>
      </c>
      <c r="C34" s="14">
        <v>104642.98</v>
      </c>
      <c r="D34" s="45">
        <v>381514.87</v>
      </c>
      <c r="E34" s="50">
        <f>D34-C34</f>
        <v>276871.89</v>
      </c>
      <c r="F34" s="45">
        <v>281121.05</v>
      </c>
      <c r="G34" s="45">
        <v>95252.45</v>
      </c>
      <c r="H34" s="50">
        <f>F34+E34+G34</f>
        <v>653245.3899999999</v>
      </c>
      <c r="I34" s="45">
        <v>617532.57999999996</v>
      </c>
      <c r="J34" s="50">
        <f>I34/12*25</f>
        <v>1286526.2083333333</v>
      </c>
      <c r="K34" s="50">
        <f>H34-J34</f>
        <v>-633280.81833333336</v>
      </c>
      <c r="L34" t="s">
        <v>112</v>
      </c>
    </row>
    <row r="35" spans="1:12" hidden="1" x14ac:dyDescent="0.25">
      <c r="A35">
        <v>503370</v>
      </c>
      <c r="B35" t="s">
        <v>115</v>
      </c>
      <c r="C35" s="14">
        <v>99681.97</v>
      </c>
      <c r="D35" s="45">
        <v>295162.12</v>
      </c>
      <c r="E35" s="50">
        <f>D35-C35</f>
        <v>195480.15</v>
      </c>
      <c r="F35" s="45">
        <v>213347.18</v>
      </c>
      <c r="G35" s="45">
        <v>32519.5</v>
      </c>
      <c r="H35" s="50">
        <f>F35+E35+G35</f>
        <v>441346.82999999996</v>
      </c>
      <c r="I35" s="45">
        <v>220253.52</v>
      </c>
      <c r="J35" s="50">
        <f>I35/12*25</f>
        <v>458861.5</v>
      </c>
      <c r="K35" s="50">
        <f>H35-J35</f>
        <v>-17514.670000000042</v>
      </c>
      <c r="L35" t="s">
        <v>103</v>
      </c>
    </row>
    <row r="36" spans="1:12" hidden="1" x14ac:dyDescent="0.25">
      <c r="A36">
        <v>503380</v>
      </c>
      <c r="B36" t="s">
        <v>114</v>
      </c>
      <c r="C36" s="14">
        <v>82628.58</v>
      </c>
      <c r="D36" s="45">
        <v>333084.2</v>
      </c>
      <c r="E36" s="50">
        <f>D36-C36</f>
        <v>250455.62</v>
      </c>
      <c r="F36" s="45">
        <v>161391.14000000001</v>
      </c>
      <c r="G36" s="45">
        <v>42206.55</v>
      </c>
      <c r="H36" s="50">
        <f>F36+E36+G36</f>
        <v>454053.31</v>
      </c>
      <c r="I36" s="45">
        <v>478956.93</v>
      </c>
      <c r="J36" s="50">
        <f>I36/12*25</f>
        <v>997826.9375</v>
      </c>
      <c r="K36" s="50">
        <f>H36-J36</f>
        <v>-543773.62749999994</v>
      </c>
      <c r="L36" t="s">
        <v>103</v>
      </c>
    </row>
    <row r="37" spans="1:12" x14ac:dyDescent="0.25">
      <c r="A37">
        <v>503400</v>
      </c>
      <c r="B37" t="s">
        <v>113</v>
      </c>
      <c r="C37" s="14">
        <v>-15493.43</v>
      </c>
      <c r="D37" s="45">
        <v>-1072834.6399999999</v>
      </c>
      <c r="E37" s="50">
        <f>D37-C37</f>
        <v>-1057341.21</v>
      </c>
      <c r="F37" s="45">
        <v>1481890.28</v>
      </c>
      <c r="G37" s="45">
        <v>340569.62</v>
      </c>
      <c r="H37" s="50">
        <f>F37+E37+G37</f>
        <v>765118.69000000006</v>
      </c>
      <c r="I37" s="45">
        <v>2608801.4300000002</v>
      </c>
      <c r="J37" s="50">
        <f>I37/12*25</f>
        <v>5435002.979166667</v>
      </c>
      <c r="K37" s="50">
        <f>H37-J37</f>
        <v>-4669884.2891666666</v>
      </c>
      <c r="L37" t="s">
        <v>112</v>
      </c>
    </row>
    <row r="38" spans="1:12" hidden="1" x14ac:dyDescent="0.25">
      <c r="A38">
        <v>503420</v>
      </c>
      <c r="B38" t="s">
        <v>111</v>
      </c>
      <c r="C38" s="14">
        <v>-2532.33</v>
      </c>
      <c r="D38" s="45">
        <v>-4532.33</v>
      </c>
      <c r="E38" s="50">
        <f>D38-C38</f>
        <v>-2000</v>
      </c>
      <c r="F38" s="45">
        <v>-3089.1</v>
      </c>
      <c r="G38" s="45">
        <v>0</v>
      </c>
      <c r="H38" s="50">
        <f>F38+E38+G38</f>
        <v>-5089.1000000000004</v>
      </c>
      <c r="I38" s="45">
        <v>-7027.77</v>
      </c>
      <c r="J38" s="50">
        <f>I38/12*25</f>
        <v>-14641.1875</v>
      </c>
      <c r="K38" s="50">
        <f>H38-J38</f>
        <v>9552.0874999999996</v>
      </c>
      <c r="L38" t="s">
        <v>103</v>
      </c>
    </row>
    <row r="39" spans="1:12" hidden="1" x14ac:dyDescent="0.25">
      <c r="A39">
        <v>503425</v>
      </c>
      <c r="B39" t="s">
        <v>110</v>
      </c>
      <c r="C39" s="14">
        <v>23599.85</v>
      </c>
      <c r="D39" s="45">
        <v>110680.17</v>
      </c>
      <c r="E39" s="50">
        <f>D39-C39</f>
        <v>87080.320000000007</v>
      </c>
      <c r="F39" s="45">
        <v>62300.38</v>
      </c>
      <c r="G39" s="45">
        <v>364.7</v>
      </c>
      <c r="H39" s="50">
        <f>F39+E39+G39</f>
        <v>149745.40000000002</v>
      </c>
      <c r="I39" s="45">
        <v>25525.49</v>
      </c>
      <c r="J39" s="50">
        <f>I39/12*25</f>
        <v>53178.104166666672</v>
      </c>
      <c r="K39" s="50">
        <f>H39-J39</f>
        <v>96567.295833333352</v>
      </c>
      <c r="L39" t="s">
        <v>103</v>
      </c>
    </row>
    <row r="40" spans="1:12" hidden="1" x14ac:dyDescent="0.25">
      <c r="A40">
        <v>503430</v>
      </c>
      <c r="B40" t="s">
        <v>109</v>
      </c>
      <c r="C40" s="14">
        <v>6177.23</v>
      </c>
      <c r="D40" s="45">
        <v>39694.589999999997</v>
      </c>
      <c r="E40" s="50">
        <f>D40-C40</f>
        <v>33517.360000000001</v>
      </c>
      <c r="F40" s="45">
        <v>43421.279999999999</v>
      </c>
      <c r="G40" s="45">
        <v>15739.43</v>
      </c>
      <c r="H40" s="50">
        <f>F40+E40+G40</f>
        <v>92678.07</v>
      </c>
      <c r="I40" s="45">
        <v>24343.32</v>
      </c>
      <c r="J40" s="50">
        <f>I40/12*25</f>
        <v>50715.25</v>
      </c>
      <c r="K40" s="50">
        <f>H40-J40</f>
        <v>41962.820000000007</v>
      </c>
      <c r="L40" t="s">
        <v>103</v>
      </c>
    </row>
    <row r="41" spans="1:12" hidden="1" x14ac:dyDescent="0.25">
      <c r="A41">
        <v>503435</v>
      </c>
      <c r="B41" t="s">
        <v>108</v>
      </c>
      <c r="C41" s="14">
        <v>5073.1499999999996</v>
      </c>
      <c r="D41" s="45">
        <v>21919.27</v>
      </c>
      <c r="E41" s="50">
        <f>D41-C41</f>
        <v>16846.120000000003</v>
      </c>
      <c r="F41" s="45">
        <v>15935.31</v>
      </c>
      <c r="G41" s="45">
        <v>5431.94</v>
      </c>
      <c r="H41" s="50">
        <f>F41+E41+G41</f>
        <v>38213.370000000003</v>
      </c>
      <c r="I41" s="45">
        <v>6213.29</v>
      </c>
      <c r="J41" s="50">
        <f>I41/12*25</f>
        <v>12944.354166666668</v>
      </c>
      <c r="K41" s="50">
        <f>H41-J41</f>
        <v>25269.015833333335</v>
      </c>
      <c r="L41" t="s">
        <v>103</v>
      </c>
    </row>
    <row r="42" spans="1:12" hidden="1" x14ac:dyDescent="0.25">
      <c r="A42">
        <v>503490</v>
      </c>
      <c r="B42" t="s">
        <v>107</v>
      </c>
      <c r="C42" s="14">
        <v>-145710.43</v>
      </c>
      <c r="D42" s="45">
        <v>-942303.98</v>
      </c>
      <c r="E42" s="50">
        <f>D42-C42</f>
        <v>-796593.55</v>
      </c>
      <c r="F42" s="45">
        <v>-596822.21</v>
      </c>
      <c r="G42" s="45">
        <v>0</v>
      </c>
      <c r="H42" s="50">
        <f>F42+E42+G42</f>
        <v>-1393415.76</v>
      </c>
      <c r="I42" s="45">
        <v>-1437415.15</v>
      </c>
      <c r="J42" s="50">
        <f>I42/12*25</f>
        <v>-2994614.895833333</v>
      </c>
      <c r="K42" s="50">
        <f>H42-J42</f>
        <v>1601199.135833333</v>
      </c>
      <c r="L42" t="s">
        <v>103</v>
      </c>
    </row>
    <row r="43" spans="1:12" hidden="1" x14ac:dyDescent="0.25">
      <c r="A43">
        <v>503490</v>
      </c>
      <c r="B43" t="s">
        <v>107</v>
      </c>
      <c r="C43" s="14">
        <v>145710.43</v>
      </c>
      <c r="D43" s="45">
        <v>942303.98</v>
      </c>
      <c r="E43" s="50">
        <f>D43-C43</f>
        <v>796593.55</v>
      </c>
      <c r="F43" s="45">
        <v>596822.21</v>
      </c>
      <c r="G43" s="45">
        <v>0</v>
      </c>
      <c r="H43" s="50">
        <f>F43+E43+G43</f>
        <v>1393415.76</v>
      </c>
      <c r="I43" s="45">
        <v>1437415.15</v>
      </c>
      <c r="J43" s="50">
        <f>I43/12*25</f>
        <v>2994614.895833333</v>
      </c>
      <c r="K43" s="50">
        <f>H43-J43</f>
        <v>-1601199.135833333</v>
      </c>
      <c r="L43" t="s">
        <v>103</v>
      </c>
    </row>
    <row r="44" spans="1:12" hidden="1" x14ac:dyDescent="0.25">
      <c r="A44">
        <v>503950</v>
      </c>
      <c r="B44" t="s">
        <v>106</v>
      </c>
      <c r="C44" s="14">
        <v>-32843.480000000003</v>
      </c>
      <c r="D44" s="45">
        <v>-68790.41</v>
      </c>
      <c r="E44" s="50">
        <f>D44-C44</f>
        <v>-35946.93</v>
      </c>
      <c r="F44" s="45">
        <v>-95841.41</v>
      </c>
      <c r="G44" s="45">
        <v>-32672.09</v>
      </c>
      <c r="H44" s="50">
        <f>F44+E44+G44</f>
        <v>-164460.43</v>
      </c>
      <c r="I44" s="45">
        <v>-234907.75</v>
      </c>
      <c r="J44" s="50">
        <f>I44/12*25</f>
        <v>-489391.14583333331</v>
      </c>
      <c r="K44" s="50">
        <f>H44-J44</f>
        <v>324930.71583333332</v>
      </c>
      <c r="L44" t="s">
        <v>103</v>
      </c>
    </row>
    <row r="45" spans="1:12" hidden="1" x14ac:dyDescent="0.25">
      <c r="A45">
        <v>503999</v>
      </c>
      <c r="B45" t="s">
        <v>105</v>
      </c>
      <c r="C45" s="14">
        <v>0</v>
      </c>
      <c r="D45">
        <v>-667.22</v>
      </c>
      <c r="E45" s="50">
        <f>D45-C45</f>
        <v>-667.22</v>
      </c>
      <c r="F45" s="45">
        <v>-1603.13</v>
      </c>
      <c r="G45" s="45">
        <v>-120.28</v>
      </c>
      <c r="H45" s="50">
        <f>F45+E45+G45</f>
        <v>-2390.6300000000006</v>
      </c>
      <c r="I45" s="45">
        <v>-1302.07</v>
      </c>
      <c r="J45" s="50">
        <f>I45/12*25</f>
        <v>-2712.645833333333</v>
      </c>
      <c r="K45" s="50">
        <f>H45-J45</f>
        <v>322.01583333333247</v>
      </c>
      <c r="L45" t="s">
        <v>103</v>
      </c>
    </row>
    <row r="46" spans="1:12" hidden="1" x14ac:dyDescent="0.25">
      <c r="A46">
        <v>701070</v>
      </c>
      <c r="B46" t="s">
        <v>104</v>
      </c>
      <c r="C46" s="49">
        <v>-180</v>
      </c>
      <c r="D46" s="47">
        <v>-444.6</v>
      </c>
      <c r="E46" s="46">
        <f>D46-C46</f>
        <v>-264.60000000000002</v>
      </c>
      <c r="F46" s="48">
        <v>-260</v>
      </c>
      <c r="G46" s="48">
        <v>0</v>
      </c>
      <c r="H46" s="46">
        <f>F46+E46+G46</f>
        <v>-524.6</v>
      </c>
      <c r="I46" s="47">
        <v>0</v>
      </c>
      <c r="J46" s="46">
        <f>I46/12*25</f>
        <v>0</v>
      </c>
      <c r="K46" s="46">
        <f>H46-J46</f>
        <v>-524.6</v>
      </c>
      <c r="L46" t="s">
        <v>103</v>
      </c>
    </row>
    <row r="47" spans="1:12" x14ac:dyDescent="0.25">
      <c r="A47" t="s">
        <v>102</v>
      </c>
      <c r="C47" s="14">
        <f>SUM(C11:C46)</f>
        <v>2314770.94</v>
      </c>
      <c r="D47" s="45">
        <v>8289284.0199999996</v>
      </c>
      <c r="E47" s="45">
        <f>SUM(E11:E46)</f>
        <v>5974513.080000001</v>
      </c>
      <c r="F47" s="45">
        <f>SUM(F11:F46)</f>
        <v>9713348.7999999989</v>
      </c>
      <c r="G47" s="45">
        <f>SUM(G11:G46)</f>
        <v>2421639.5500000007</v>
      </c>
      <c r="H47" s="45">
        <f>SUM(H11:H46)</f>
        <v>18109501.429999996</v>
      </c>
      <c r="I47" s="45">
        <v>15716667.720000001</v>
      </c>
      <c r="J47" s="45">
        <f>SUM(J11:J46)</f>
        <v>32743057.75</v>
      </c>
      <c r="K47" s="45">
        <f>SUM(K11:K46)</f>
        <v>-14633556.320000002</v>
      </c>
    </row>
    <row r="48" spans="1:12" x14ac:dyDescent="0.25">
      <c r="D48" s="45"/>
    </row>
    <row r="49" spans="1:11" x14ac:dyDescent="0.25">
      <c r="A49" t="s">
        <v>101</v>
      </c>
      <c r="K49" s="44">
        <f>SUBTOTAL(9,K11:K37)</f>
        <v>-14891102.92666667</v>
      </c>
    </row>
    <row r="52" spans="1:11" ht="69.599999999999994" customHeight="1" x14ac:dyDescent="0.25">
      <c r="A52" s="43" t="s">
        <v>100</v>
      </c>
      <c r="B52" s="43"/>
      <c r="C52" s="43"/>
      <c r="D52" s="43"/>
      <c r="E52" s="43"/>
      <c r="F52" s="43"/>
      <c r="G52" s="43"/>
      <c r="H52" s="43"/>
      <c r="I52" s="43"/>
      <c r="J52" s="43"/>
    </row>
  </sheetData>
  <autoFilter ref="L7:L49" xr:uid="{00000000-0009-0000-0000-000000000000}">
    <filterColumn colId="0">
      <filters blank="1">
        <filter val="yes"/>
      </filters>
    </filterColumn>
  </autoFilter>
  <mergeCells count="1">
    <mergeCell ref="A52:J52"/>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2023-10-27T07:00:00+00:00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2D5E2262-39D6-4B28-A172-BB4D85EFBCCC}"/>
</file>

<file path=customXml/itemProps2.xml><?xml version="1.0" encoding="utf-8"?>
<ds:datastoreItem xmlns:ds="http://schemas.openxmlformats.org/officeDocument/2006/customXml" ds:itemID="{FD3BAE04-8767-4805-AABF-B04701B7F554}"/>
</file>

<file path=customXml/itemProps3.xml><?xml version="1.0" encoding="utf-8"?>
<ds:datastoreItem xmlns:ds="http://schemas.openxmlformats.org/officeDocument/2006/customXml" ds:itemID="{AC008EAE-8CB9-45AB-9B16-368ED7EAC522}"/>
</file>

<file path=customXml/itemProps4.xml><?xml version="1.0" encoding="utf-8"?>
<ds:datastoreItem xmlns:ds="http://schemas.openxmlformats.org/officeDocument/2006/customXml" ds:itemID="{5CCB5740-4432-4DC0-A6F2-143F1218D2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Washington with allocation</vt:lpstr>
      <vt:lpstr>Washington_Q3 2022</vt:lpstr>
      <vt:lpstr>bad debt</vt:lpstr>
      <vt:lpstr>late fees</vt:lpstr>
      <vt:lpstr>payroll tax deferrals</vt:lpstr>
      <vt:lpstr>employee exp</vt:lpstr>
    </vt:vector>
  </TitlesOfParts>
  <Company>PacifiCorp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Loechle, Heather</dc:creator>
  <cp:lastModifiedBy>Cheung, Sherona (PacifiCorp)</cp:lastModifiedBy>
  <dcterms:created xsi:type="dcterms:W3CDTF">2020-09-02T15:31:39Z</dcterms:created>
  <dcterms:modified xsi:type="dcterms:W3CDTF">2023-10-24T21:47:11Z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