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charts/colors1.xml" ContentType="application/vnd.ms-office.chartcolorstyle+xml"/>
  <Override PartName="/xl/charts/style1.xml" ContentType="application/vnd.ms-office.chartstyle+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harts/chart1.xml" ContentType="application/vnd.openxmlformats-officedocument.drawingml.chart+xml"/>
  <Override PartName="/xl/printerSettings/printerSettings6.bin" ContentType="application/vnd.openxmlformats-officedocument.spreadsheetml.printerSettings"/>
  <Override PartName="/xl/externalLinks/externalLink1.xml" ContentType="application/vnd.openxmlformats-officedocument.spreadsheetml.externalLink+xml"/>
  <Override PartName="/xl/printerSettings/printerSettings7.bin" ContentType="application/vnd.openxmlformats-officedocument.spreadsheetml.printerSettings"/>
  <Override PartName="/xl/printerSettings/printerSettings5.bin" ContentType="application/vnd.openxmlformats-officedocument.spreadsheetml.printerSettings"/>
  <Override PartName="/xl/printerSettings/printerSettings4.bin" ContentType="application/vnd.openxmlformats-officedocument.spreadsheetml.printerSettings"/>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customXml/itemProps1.xml" ContentType="application/vnd.openxmlformats-officedocument.customXmlProperties+xml"/>
  <Override PartName="/xl/calcChain.xml" ContentType="application/vnd.openxmlformats-officedocument.spreadsheetml.calcChain+xml"/>
  <Override PartName="/xl/printerSettings/printerSettings9.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printerSettings/printerSettings3.bin" ContentType="application/vnd.openxmlformats-officedocument.spreadsheetml.printerSettings"/>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printerSettings/printerSettings8.bin" ContentType="application/vnd.openxmlformats-officedocument.spreadsheetml.printerSettings"/>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ResourcePlanning\2023 Decarb Study\Final Filing Submission\Supporting Documentations\PSE Models\Electric System Planning\"/>
    </mc:Choice>
  </mc:AlternateContent>
  <bookViews>
    <workbookView xWindow="0" yWindow="0" windowWidth="25200" windowHeight="11860" tabRatio="853" activeTab="3"/>
  </bookViews>
  <sheets>
    <sheet name="2023 Update" sheetId="10" r:id="rId1"/>
    <sheet name="Electric - Peaks" sheetId="13" r:id="rId2"/>
    <sheet name="2023 Overall Summary" sheetId="12" r:id="rId3"/>
    <sheet name="Costs-Updated" sheetId="3" r:id="rId4"/>
    <sheet name="Incremental Load Growth" sheetId="4" r:id="rId5"/>
    <sheet name="20-Year Summary Costs" sheetId="9" r:id="rId6"/>
    <sheet name="Transmission Summary" sheetId="7" r:id="rId7"/>
    <sheet name="Substation Transmission Summary" sheetId="6" r:id="rId8"/>
    <sheet name="Dist Transformer Summary" sheetId="8" r:id="rId9"/>
    <sheet name="Distribution Assumptions" sheetId="2" r:id="rId10"/>
    <sheet name="Overall Summary" sheetId="5" r:id="rId11"/>
  </sheets>
  <externalReferences>
    <externalReference r:id="rId12"/>
  </externalReferences>
  <definedNames>
    <definedName name="_xlnm._FilterDatabase" localSheetId="1" hidden="1">'Electric - Peaks'!#REF!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[1]P1s!$D$2:$D$69</definedName>
  </definedNames>
  <calcPr calcId="162913"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12" l="1"/>
  <c r="H47" i="12"/>
  <c r="F47" i="12"/>
  <c r="D47" i="12"/>
  <c r="E35" i="10"/>
  <c r="E34" i="10"/>
  <c r="E33" i="10"/>
  <c r="E32" i="10"/>
  <c r="E25" i="10"/>
  <c r="E26" i="10"/>
  <c r="E27" i="10"/>
  <c r="E24" i="10"/>
  <c r="C33" i="10" l="1"/>
  <c r="C34" i="10"/>
  <c r="C35" i="10"/>
  <c r="C32" i="10"/>
  <c r="C27" i="10" l="1"/>
  <c r="C26" i="10"/>
  <c r="C25" i="10"/>
  <c r="C24" i="10"/>
  <c r="AD35" i="13"/>
  <c r="Y35" i="13"/>
  <c r="AI35" i="13" s="1"/>
  <c r="T35" i="13"/>
  <c r="AH35" i="13" s="1"/>
  <c r="O35" i="13"/>
  <c r="AG35" i="13" s="1"/>
  <c r="J35" i="13"/>
  <c r="AF35" i="13" s="1"/>
  <c r="AD34" i="13"/>
  <c r="Y34" i="13"/>
  <c r="T34" i="13"/>
  <c r="AH34" i="13" s="1"/>
  <c r="O34" i="13"/>
  <c r="AG34" i="13" s="1"/>
  <c r="J34" i="13"/>
  <c r="AF34" i="13" s="1"/>
  <c r="AD33" i="13"/>
  <c r="Y33" i="13"/>
  <c r="AI33" i="13" s="1"/>
  <c r="T33" i="13"/>
  <c r="O33" i="13"/>
  <c r="AG33" i="13" s="1"/>
  <c r="J33" i="13"/>
  <c r="AD32" i="13"/>
  <c r="Y32" i="13"/>
  <c r="AI32" i="13" s="1"/>
  <c r="T32" i="13"/>
  <c r="AH32" i="13" s="1"/>
  <c r="O32" i="13"/>
  <c r="AG32" i="13" s="1"/>
  <c r="J32" i="13"/>
  <c r="AF32" i="13" s="1"/>
  <c r="AD31" i="13"/>
  <c r="Y31" i="13"/>
  <c r="AI31" i="13" s="1"/>
  <c r="T31" i="13"/>
  <c r="AH31" i="13" s="1"/>
  <c r="O31" i="13"/>
  <c r="AG31" i="13" s="1"/>
  <c r="J31" i="13"/>
  <c r="AF31" i="13" s="1"/>
  <c r="AD30" i="13"/>
  <c r="Y30" i="13"/>
  <c r="AI30" i="13" s="1"/>
  <c r="T30" i="13"/>
  <c r="AH30" i="13" s="1"/>
  <c r="O30" i="13"/>
  <c r="AG30" i="13" s="1"/>
  <c r="J30" i="13"/>
  <c r="AF30" i="13" s="1"/>
  <c r="AD29" i="13"/>
  <c r="Y29" i="13"/>
  <c r="AI29" i="13" s="1"/>
  <c r="T29" i="13"/>
  <c r="AH29" i="13" s="1"/>
  <c r="O29" i="13"/>
  <c r="AG29" i="13" s="1"/>
  <c r="J29" i="13"/>
  <c r="AF29" i="13" s="1"/>
  <c r="AD28" i="13"/>
  <c r="Y28" i="13"/>
  <c r="AI28" i="13" s="1"/>
  <c r="T28" i="13"/>
  <c r="AH28" i="13" s="1"/>
  <c r="O28" i="13"/>
  <c r="J28" i="13"/>
  <c r="AF28" i="13" s="1"/>
  <c r="AD27" i="13"/>
  <c r="Y27" i="13"/>
  <c r="AI27" i="13" s="1"/>
  <c r="T27" i="13"/>
  <c r="AH27" i="13" s="1"/>
  <c r="O27" i="13"/>
  <c r="AG27" i="13" s="1"/>
  <c r="J27" i="13"/>
  <c r="AF27" i="13" s="1"/>
  <c r="AD26" i="13"/>
  <c r="Y26" i="13"/>
  <c r="T26" i="13"/>
  <c r="AH26" i="13" s="1"/>
  <c r="O26" i="13"/>
  <c r="AG26" i="13" s="1"/>
  <c r="J26" i="13"/>
  <c r="AF26" i="13" s="1"/>
  <c r="AD25" i="13"/>
  <c r="Y25" i="13"/>
  <c r="AI25" i="13" s="1"/>
  <c r="T25" i="13"/>
  <c r="O25" i="13"/>
  <c r="AG25" i="13" s="1"/>
  <c r="J25" i="13"/>
  <c r="AD24" i="13"/>
  <c r="Y24" i="13"/>
  <c r="AI24" i="13" s="1"/>
  <c r="T24" i="13"/>
  <c r="AH24" i="13" s="1"/>
  <c r="O24" i="13"/>
  <c r="AG24" i="13" s="1"/>
  <c r="J24" i="13"/>
  <c r="AF24" i="13" s="1"/>
  <c r="AD23" i="13"/>
  <c r="Y23" i="13"/>
  <c r="AI23" i="13" s="1"/>
  <c r="T23" i="13"/>
  <c r="AH23" i="13" s="1"/>
  <c r="O23" i="13"/>
  <c r="AG23" i="13" s="1"/>
  <c r="J23" i="13"/>
  <c r="AF23" i="13" s="1"/>
  <c r="AD22" i="13"/>
  <c r="Y22" i="13"/>
  <c r="AI22" i="13" s="1"/>
  <c r="T22" i="13"/>
  <c r="AH22" i="13" s="1"/>
  <c r="O22" i="13"/>
  <c r="AG22" i="13" s="1"/>
  <c r="J22" i="13"/>
  <c r="AF22" i="13" s="1"/>
  <c r="AD21" i="13"/>
  <c r="Y21" i="13"/>
  <c r="AI21" i="13" s="1"/>
  <c r="T21" i="13"/>
  <c r="AH21" i="13" s="1"/>
  <c r="O21" i="13"/>
  <c r="AG21" i="13" s="1"/>
  <c r="J21" i="13"/>
  <c r="AF21" i="13" s="1"/>
  <c r="AD20" i="13"/>
  <c r="Y20" i="13"/>
  <c r="AI20" i="13" s="1"/>
  <c r="T20" i="13"/>
  <c r="AH20" i="13" s="1"/>
  <c r="O20" i="13"/>
  <c r="J20" i="13"/>
  <c r="AF20" i="13" s="1"/>
  <c r="AD19" i="13"/>
  <c r="Y19" i="13"/>
  <c r="AI19" i="13" s="1"/>
  <c r="T19" i="13"/>
  <c r="AH19" i="13" s="1"/>
  <c r="O19" i="13"/>
  <c r="AG19" i="13" s="1"/>
  <c r="J19" i="13"/>
  <c r="AF19" i="13" s="1"/>
  <c r="AD18" i="13"/>
  <c r="Y18" i="13"/>
  <c r="T18" i="13"/>
  <c r="AH18" i="13" s="1"/>
  <c r="O18" i="13"/>
  <c r="AG18" i="13" s="1"/>
  <c r="J18" i="13"/>
  <c r="AF18" i="13" s="1"/>
  <c r="AD17" i="13"/>
  <c r="Y17" i="13"/>
  <c r="AI17" i="13" s="1"/>
  <c r="T17" i="13"/>
  <c r="O17" i="13"/>
  <c r="AG17" i="13" s="1"/>
  <c r="J17" i="13"/>
  <c r="AD16" i="13"/>
  <c r="Y16" i="13"/>
  <c r="AI16" i="13" s="1"/>
  <c r="T16" i="13"/>
  <c r="AH16" i="13" s="1"/>
  <c r="O16" i="13"/>
  <c r="AG16" i="13" s="1"/>
  <c r="J16" i="13"/>
  <c r="AF16" i="13" s="1"/>
  <c r="AD15" i="13"/>
  <c r="Y15" i="13"/>
  <c r="AI15" i="13" s="1"/>
  <c r="T15" i="13"/>
  <c r="AH15" i="13" s="1"/>
  <c r="O15" i="13"/>
  <c r="AG15" i="13" s="1"/>
  <c r="J15" i="13"/>
  <c r="AF15" i="13" s="1"/>
  <c r="AD14" i="13"/>
  <c r="Y14" i="13"/>
  <c r="AI14" i="13" s="1"/>
  <c r="T14" i="13"/>
  <c r="AH14" i="13" s="1"/>
  <c r="O14" i="13"/>
  <c r="AG14" i="13" s="1"/>
  <c r="J14" i="13"/>
  <c r="AF14" i="13" s="1"/>
  <c r="AD13" i="13"/>
  <c r="Y13" i="13"/>
  <c r="AI13" i="13" s="1"/>
  <c r="T13" i="13"/>
  <c r="AH13" i="13" s="1"/>
  <c r="O13" i="13"/>
  <c r="AG13" i="13" s="1"/>
  <c r="J13" i="13"/>
  <c r="AF13" i="13" s="1"/>
  <c r="AD12" i="13"/>
  <c r="Y12" i="13"/>
  <c r="AI12" i="13" s="1"/>
  <c r="T12" i="13"/>
  <c r="AH12" i="13" s="1"/>
  <c r="O12" i="13"/>
  <c r="J12" i="13"/>
  <c r="AF12" i="13" s="1"/>
  <c r="AD11" i="13"/>
  <c r="Y11" i="13"/>
  <c r="AI11" i="13" s="1"/>
  <c r="T11" i="13"/>
  <c r="AH11" i="13" s="1"/>
  <c r="O11" i="13"/>
  <c r="AG11" i="13" s="1"/>
  <c r="J11" i="13"/>
  <c r="AF11" i="13" s="1"/>
  <c r="AD10" i="13"/>
  <c r="Y10" i="13"/>
  <c r="T10" i="13"/>
  <c r="AH10" i="13" s="1"/>
  <c r="O10" i="13"/>
  <c r="AG10" i="13" s="1"/>
  <c r="J10" i="13"/>
  <c r="AF10" i="13" s="1"/>
  <c r="AD9" i="13"/>
  <c r="Y9" i="13"/>
  <c r="AI9" i="13" s="1"/>
  <c r="T9" i="13"/>
  <c r="O9" i="13"/>
  <c r="AG9" i="13" s="1"/>
  <c r="J9" i="13"/>
  <c r="AD8" i="13"/>
  <c r="Y8" i="13"/>
  <c r="AI8" i="13" s="1"/>
  <c r="T8" i="13"/>
  <c r="AH8" i="13" s="1"/>
  <c r="O8" i="13"/>
  <c r="AG8" i="13" s="1"/>
  <c r="J8" i="13"/>
  <c r="AF8" i="13" s="1"/>
  <c r="A8" i="13"/>
  <c r="AD7" i="13"/>
  <c r="Y7" i="13"/>
  <c r="AI7" i="13" s="1"/>
  <c r="T7" i="13"/>
  <c r="AH7" i="13" s="1"/>
  <c r="O7" i="13"/>
  <c r="AG7" i="13" s="1"/>
  <c r="J7" i="13"/>
  <c r="AF7" i="13" s="1"/>
  <c r="C7" i="13"/>
  <c r="A9" i="13" l="1"/>
  <c r="C8" i="13"/>
  <c r="AH9" i="13"/>
  <c r="AI10" i="13"/>
  <c r="AG12" i="13"/>
  <c r="AF17" i="13"/>
  <c r="AI18" i="13"/>
  <c r="AG20" i="13"/>
  <c r="AH25" i="13"/>
  <c r="AI26" i="13"/>
  <c r="AG28" i="13"/>
  <c r="AH33" i="13"/>
  <c r="AI34" i="13"/>
  <c r="C9" i="13"/>
  <c r="A10" i="13"/>
  <c r="AF25" i="13"/>
  <c r="AF9" i="13"/>
  <c r="AF33" i="13"/>
  <c r="AH17" i="13"/>
  <c r="C10" i="13" l="1"/>
  <c r="A11" i="13"/>
  <c r="A12" i="13" l="1"/>
  <c r="C11" i="13"/>
  <c r="A13" i="13" l="1"/>
  <c r="C12" i="13"/>
  <c r="C13" i="13" l="1"/>
  <c r="A14" i="13"/>
  <c r="A15" i="13" l="1"/>
  <c r="C14" i="13"/>
  <c r="A16" i="13" l="1"/>
  <c r="C15" i="13"/>
  <c r="C16" i="13" l="1"/>
  <c r="A17" i="13"/>
  <c r="A18" i="13" l="1"/>
  <c r="C17" i="13"/>
  <c r="A19" i="13" l="1"/>
  <c r="C18" i="13"/>
  <c r="C19" i="13" l="1"/>
  <c r="A20" i="13"/>
  <c r="A21" i="13" l="1"/>
  <c r="C20" i="13"/>
  <c r="C21" i="13" l="1"/>
  <c r="A22" i="13"/>
  <c r="A23" i="13" l="1"/>
  <c r="C22" i="13"/>
  <c r="A24" i="13" l="1"/>
  <c r="C23" i="13"/>
  <c r="C24" i="13" l="1"/>
  <c r="A25" i="13"/>
  <c r="A26" i="13" l="1"/>
  <c r="C25" i="13"/>
  <c r="C26" i="13" l="1"/>
  <c r="A27" i="13"/>
  <c r="A28" i="13" l="1"/>
  <c r="C27" i="13"/>
  <c r="A29" i="13" l="1"/>
  <c r="C28" i="13"/>
  <c r="C29" i="13" l="1"/>
  <c r="A30" i="13"/>
  <c r="A31" i="13" l="1"/>
  <c r="C30" i="13"/>
  <c r="A32" i="13" l="1"/>
  <c r="C31" i="13"/>
  <c r="C32" i="13" l="1"/>
  <c r="A33" i="13"/>
  <c r="A34" i="13" l="1"/>
  <c r="C33" i="13"/>
  <c r="C34" i="13" l="1"/>
  <c r="A35" i="13"/>
  <c r="C35" i="13" s="1"/>
  <c r="J33" i="12" l="1"/>
  <c r="H33" i="12"/>
  <c r="F33" i="12"/>
  <c r="D33" i="12"/>
  <c r="L35" i="12" l="1"/>
  <c r="L49" i="12" s="1"/>
  <c r="L36" i="12"/>
  <c r="L50" i="12" s="1"/>
  <c r="L37" i="12"/>
  <c r="L51" i="12" s="1"/>
  <c r="L38" i="12"/>
  <c r="L52" i="12" s="1"/>
  <c r="L39" i="12"/>
  <c r="L53" i="12" s="1"/>
  <c r="L40" i="12"/>
  <c r="L54" i="12" s="1"/>
  <c r="L34" i="12"/>
  <c r="L48" i="12" s="1"/>
  <c r="J26" i="12"/>
  <c r="J25" i="12"/>
  <c r="J24" i="12"/>
  <c r="J23" i="12"/>
  <c r="J22" i="12"/>
  <c r="J21" i="12"/>
  <c r="J20" i="12"/>
  <c r="J19" i="12"/>
  <c r="J13" i="12"/>
  <c r="J12" i="12"/>
  <c r="J11" i="12"/>
  <c r="J10" i="12"/>
  <c r="J9" i="12"/>
  <c r="J8" i="12"/>
  <c r="J7" i="12"/>
  <c r="J6" i="12"/>
  <c r="R36" i="8"/>
  <c r="R35" i="8"/>
  <c r="R34" i="8"/>
  <c r="P35" i="8"/>
  <c r="P36" i="8"/>
  <c r="P34" i="8"/>
  <c r="O26" i="12"/>
  <c r="N26" i="12"/>
  <c r="M26" i="12"/>
  <c r="O25" i="12"/>
  <c r="N25" i="12"/>
  <c r="M25" i="12"/>
  <c r="O24" i="12"/>
  <c r="N24" i="12"/>
  <c r="M24" i="12"/>
  <c r="O23" i="12"/>
  <c r="N23" i="12"/>
  <c r="M23" i="12"/>
  <c r="O22" i="12"/>
  <c r="N22" i="12"/>
  <c r="M22" i="12"/>
  <c r="O21" i="12"/>
  <c r="N21" i="12"/>
  <c r="M21" i="12"/>
  <c r="O20" i="12"/>
  <c r="N20" i="12"/>
  <c r="M20" i="12"/>
  <c r="N11" i="12"/>
  <c r="N10" i="12"/>
  <c r="M8" i="12"/>
  <c r="N8" i="12"/>
  <c r="O8" i="12"/>
  <c r="M9" i="12"/>
  <c r="N9" i="12"/>
  <c r="O9" i="12"/>
  <c r="M10" i="12"/>
  <c r="O10" i="12"/>
  <c r="M11" i="12"/>
  <c r="O11" i="12"/>
  <c r="M12" i="12"/>
  <c r="N12" i="12"/>
  <c r="O12" i="12"/>
  <c r="M13" i="12"/>
  <c r="N13" i="12"/>
  <c r="O13" i="12"/>
  <c r="N7" i="12"/>
  <c r="O7" i="12"/>
  <c r="M7" i="12"/>
  <c r="D35" i="12" l="1"/>
  <c r="M35" i="12" s="1"/>
  <c r="E35" i="12" s="1"/>
  <c r="F50" i="12"/>
  <c r="M14" i="12"/>
  <c r="H36" i="12"/>
  <c r="O36" i="12" s="1"/>
  <c r="I36" i="12" s="1"/>
  <c r="H40" i="12"/>
  <c r="O40" i="12" s="1"/>
  <c r="I40" i="12" s="1"/>
  <c r="H49" i="12"/>
  <c r="O49" i="12" s="1"/>
  <c r="I49" i="12" s="1"/>
  <c r="F40" i="12"/>
  <c r="N40" i="12" s="1"/>
  <c r="G40" i="12" s="1"/>
  <c r="J54" i="12"/>
  <c r="P54" i="12" s="1"/>
  <c r="K54" i="12" s="1"/>
  <c r="H38" i="12"/>
  <c r="O38" i="12" s="1"/>
  <c r="I38" i="12" s="1"/>
  <c r="F36" i="12"/>
  <c r="N36" i="12" s="1"/>
  <c r="G36" i="12" s="1"/>
  <c r="F52" i="12"/>
  <c r="N52" i="12" s="1"/>
  <c r="G52" i="12" s="1"/>
  <c r="F38" i="12"/>
  <c r="N38" i="12" s="1"/>
  <c r="G38" i="12" s="1"/>
  <c r="J40" i="12"/>
  <c r="P40" i="12" s="1"/>
  <c r="K40" i="12" s="1"/>
  <c r="J38" i="12"/>
  <c r="P38" i="12" s="1"/>
  <c r="K38" i="12" s="1"/>
  <c r="J36" i="12"/>
  <c r="P36" i="12" s="1"/>
  <c r="K36" i="12" s="1"/>
  <c r="D49" i="12"/>
  <c r="M49" i="12" s="1"/>
  <c r="E49" i="12" s="1"/>
  <c r="H52" i="12"/>
  <c r="O52" i="12" s="1"/>
  <c r="I52" i="12" s="1"/>
  <c r="J49" i="12"/>
  <c r="P49" i="12" s="1"/>
  <c r="K49" i="12" s="1"/>
  <c r="D48" i="12"/>
  <c r="M48" i="12" s="1"/>
  <c r="E48" i="12" s="1"/>
  <c r="D40" i="12"/>
  <c r="M40" i="12" s="1"/>
  <c r="E40" i="12" s="1"/>
  <c r="D38" i="12"/>
  <c r="M38" i="12" s="1"/>
  <c r="E38" i="12" s="1"/>
  <c r="D36" i="12"/>
  <c r="M36" i="12" s="1"/>
  <c r="E36" i="12" s="1"/>
  <c r="D54" i="12"/>
  <c r="M54" i="12" s="1"/>
  <c r="E54" i="12" s="1"/>
  <c r="F54" i="12"/>
  <c r="N54" i="12" s="1"/>
  <c r="G54" i="12" s="1"/>
  <c r="H51" i="12"/>
  <c r="O51" i="12" s="1"/>
  <c r="I51" i="12" s="1"/>
  <c r="J48" i="12"/>
  <c r="P48" i="12" s="1"/>
  <c r="K48" i="12" s="1"/>
  <c r="J51" i="12"/>
  <c r="D34" i="12"/>
  <c r="M34" i="12" s="1"/>
  <c r="E34" i="12" s="1"/>
  <c r="J39" i="12"/>
  <c r="P39" i="12" s="1"/>
  <c r="K39" i="12" s="1"/>
  <c r="J37" i="12"/>
  <c r="P37" i="12" s="1"/>
  <c r="K37" i="12" s="1"/>
  <c r="J35" i="12"/>
  <c r="P35" i="12" s="1"/>
  <c r="K35" i="12" s="1"/>
  <c r="D53" i="12"/>
  <c r="M53" i="12" s="1"/>
  <c r="E53" i="12" s="1"/>
  <c r="J53" i="12"/>
  <c r="F51" i="12"/>
  <c r="N51" i="12" s="1"/>
  <c r="G51" i="12" s="1"/>
  <c r="H48" i="12"/>
  <c r="O48" i="12" s="1"/>
  <c r="I48" i="12" s="1"/>
  <c r="J34" i="12"/>
  <c r="P34" i="12" s="1"/>
  <c r="K34" i="12" s="1"/>
  <c r="H39" i="12"/>
  <c r="O39" i="12" s="1"/>
  <c r="I39" i="12" s="1"/>
  <c r="H37" i="12"/>
  <c r="O37" i="12" s="1"/>
  <c r="I37" i="12" s="1"/>
  <c r="H35" i="12"/>
  <c r="O35" i="12" s="1"/>
  <c r="I35" i="12" s="1"/>
  <c r="D52" i="12"/>
  <c r="M52" i="12" s="1"/>
  <c r="E52" i="12" s="1"/>
  <c r="H53" i="12"/>
  <c r="O53" i="12" s="1"/>
  <c r="I53" i="12" s="1"/>
  <c r="J50" i="12"/>
  <c r="P50" i="12" s="1"/>
  <c r="K50" i="12" s="1"/>
  <c r="F48" i="12"/>
  <c r="N48" i="12" s="1"/>
  <c r="G48" i="12" s="1"/>
  <c r="H54" i="12"/>
  <c r="O54" i="12" s="1"/>
  <c r="I54" i="12" s="1"/>
  <c r="H34" i="12"/>
  <c r="O34" i="12" s="1"/>
  <c r="I34" i="12" s="1"/>
  <c r="F39" i="12"/>
  <c r="N39" i="12" s="1"/>
  <c r="G39" i="12" s="1"/>
  <c r="F37" i="12"/>
  <c r="N37" i="12" s="1"/>
  <c r="G37" i="12" s="1"/>
  <c r="F35" i="12"/>
  <c r="N35" i="12" s="1"/>
  <c r="G35" i="12" s="1"/>
  <c r="D51" i="12"/>
  <c r="M51" i="12" s="1"/>
  <c r="E51" i="12" s="1"/>
  <c r="F53" i="12"/>
  <c r="N53" i="12" s="1"/>
  <c r="G53" i="12" s="1"/>
  <c r="H50" i="12"/>
  <c r="O50" i="12" s="1"/>
  <c r="I50" i="12" s="1"/>
  <c r="F49" i="12"/>
  <c r="N49" i="12" s="1"/>
  <c r="G49" i="12" s="1"/>
  <c r="F34" i="12"/>
  <c r="N34" i="12" s="1"/>
  <c r="G34" i="12" s="1"/>
  <c r="D39" i="12"/>
  <c r="M39" i="12" s="1"/>
  <c r="E39" i="12" s="1"/>
  <c r="D37" i="12"/>
  <c r="M37" i="12" s="1"/>
  <c r="E37" i="12" s="1"/>
  <c r="D50" i="12"/>
  <c r="M50" i="12" s="1"/>
  <c r="E50" i="12" s="1"/>
  <c r="J52" i="12"/>
  <c r="O14" i="12"/>
  <c r="N50" i="12"/>
  <c r="G50" i="12" s="1"/>
  <c r="N14" i="12"/>
  <c r="O27" i="12"/>
  <c r="M27" i="12"/>
  <c r="N27" i="12"/>
  <c r="G55" i="12" l="1"/>
  <c r="G56" i="12" s="1"/>
  <c r="F33" i="10" s="1"/>
  <c r="J33" i="10" s="1"/>
  <c r="G41" i="12"/>
  <c r="G42" i="12" s="1"/>
  <c r="D33" i="10" s="1"/>
  <c r="E55" i="12"/>
  <c r="E56" i="12" s="1"/>
  <c r="F32" i="10" s="1"/>
  <c r="J32" i="10" s="1"/>
  <c r="I55" i="12"/>
  <c r="I56" i="12" s="1"/>
  <c r="F34" i="10" s="1"/>
  <c r="J34" i="10" s="1"/>
  <c r="K41" i="12"/>
  <c r="K42" i="12" s="1"/>
  <c r="D35" i="10" s="1"/>
  <c r="I41" i="12"/>
  <c r="I42" i="12" s="1"/>
  <c r="D34" i="10" s="1"/>
  <c r="E41" i="12"/>
  <c r="E42" i="12" s="1"/>
  <c r="D32" i="10" s="1"/>
  <c r="P41" i="12"/>
  <c r="O41" i="12"/>
  <c r="M55" i="12"/>
  <c r="P53" i="12"/>
  <c r="K53" i="12" s="1"/>
  <c r="N41" i="12"/>
  <c r="O55" i="12"/>
  <c r="P52" i="12"/>
  <c r="K52" i="12" s="1"/>
  <c r="P51" i="12"/>
  <c r="K51" i="12" s="1"/>
  <c r="M41" i="12"/>
  <c r="N55" i="12"/>
  <c r="N50" i="10" l="1"/>
  <c r="T50" i="10"/>
  <c r="U50" i="10"/>
  <c r="K50" i="10"/>
  <c r="AA50" i="10"/>
  <c r="S50" i="10"/>
  <c r="AB50" i="10"/>
  <c r="AC50" i="10"/>
  <c r="AC58" i="10" s="1"/>
  <c r="L50" i="10"/>
  <c r="M50" i="10"/>
  <c r="M58" i="10" s="1"/>
  <c r="Y50" i="10"/>
  <c r="Z50" i="10"/>
  <c r="Z58" i="10" s="1"/>
  <c r="J50" i="10"/>
  <c r="Q50" i="10"/>
  <c r="W50" i="10"/>
  <c r="O50" i="10"/>
  <c r="O58" i="10" s="1"/>
  <c r="R50" i="10"/>
  <c r="X50" i="10"/>
  <c r="P50" i="10"/>
  <c r="V50" i="10"/>
  <c r="V58" i="10" s="1"/>
  <c r="Q49" i="10"/>
  <c r="N49" i="10"/>
  <c r="X49" i="10"/>
  <c r="V49" i="10"/>
  <c r="P49" i="10"/>
  <c r="AC49" i="10"/>
  <c r="AB49" i="10"/>
  <c r="AA49" i="10"/>
  <c r="Z49" i="10"/>
  <c r="W49" i="10"/>
  <c r="U49" i="10"/>
  <c r="T49" i="10"/>
  <c r="S49" i="10"/>
  <c r="R49" i="10"/>
  <c r="O49" i="10"/>
  <c r="M49" i="10"/>
  <c r="L49" i="10"/>
  <c r="K49" i="10"/>
  <c r="Y49" i="10"/>
  <c r="Y57" i="10" s="1"/>
  <c r="J49" i="10"/>
  <c r="O48" i="10"/>
  <c r="N48" i="10"/>
  <c r="V48" i="10"/>
  <c r="M48" i="10"/>
  <c r="Q48" i="10"/>
  <c r="W48" i="10"/>
  <c r="W56" i="10" s="1"/>
  <c r="AB48" i="10"/>
  <c r="AC48" i="10"/>
  <c r="AC56" i="10" s="1"/>
  <c r="L48" i="10"/>
  <c r="T48" i="10"/>
  <c r="K48" i="10"/>
  <c r="S48" i="10"/>
  <c r="AA48" i="10"/>
  <c r="U48" i="10"/>
  <c r="U56" i="10" s="1"/>
  <c r="J48" i="10"/>
  <c r="X48" i="10"/>
  <c r="X56" i="10" s="1"/>
  <c r="Z48" i="10"/>
  <c r="P48" i="10"/>
  <c r="P56" i="10" s="1"/>
  <c r="Y48" i="10"/>
  <c r="R48" i="10"/>
  <c r="K55" i="12"/>
  <c r="K56" i="12" s="1"/>
  <c r="F35" i="10" s="1"/>
  <c r="J35" i="10" s="1"/>
  <c r="P55" i="12"/>
  <c r="AA56" i="10" l="1"/>
  <c r="AB56" i="10"/>
  <c r="Q56" i="10"/>
  <c r="M56" i="10"/>
  <c r="O56" i="10"/>
  <c r="AA57" i="10"/>
  <c r="V57" i="10"/>
  <c r="W58" i="10"/>
  <c r="Q58" i="10"/>
  <c r="S58" i="10"/>
  <c r="AA58" i="10"/>
  <c r="M57" i="10"/>
  <c r="AC57" i="10"/>
  <c r="O57" i="10"/>
  <c r="R57" i="10"/>
  <c r="R56" i="10"/>
  <c r="K51" i="10"/>
  <c r="Y51" i="10"/>
  <c r="X51" i="10"/>
  <c r="Z51" i="10"/>
  <c r="J51" i="10"/>
  <c r="P51" i="10"/>
  <c r="Q51" i="10"/>
  <c r="Q59" i="10" s="1"/>
  <c r="R51" i="10"/>
  <c r="R59" i="10" s="1"/>
  <c r="W51" i="10"/>
  <c r="T51" i="10"/>
  <c r="AC51" i="10"/>
  <c r="O51" i="10"/>
  <c r="L51" i="10"/>
  <c r="V51" i="10"/>
  <c r="AA51" i="10"/>
  <c r="AA59" i="10" s="1"/>
  <c r="N51" i="10"/>
  <c r="S51" i="10"/>
  <c r="U51" i="10"/>
  <c r="U59" i="10" s="1"/>
  <c r="M51" i="10"/>
  <c r="AB51" i="10"/>
  <c r="AB58" i="10"/>
  <c r="K58" i="10"/>
  <c r="P58" i="10"/>
  <c r="Y58" i="10"/>
  <c r="U58" i="10"/>
  <c r="T58" i="10"/>
  <c r="X58" i="10"/>
  <c r="R58" i="10"/>
  <c r="L58" i="10"/>
  <c r="N58" i="10"/>
  <c r="P57" i="10"/>
  <c r="S57" i="10"/>
  <c r="U57" i="10"/>
  <c r="X57" i="10"/>
  <c r="AB57" i="10"/>
  <c r="W57" i="10"/>
  <c r="N57" i="10"/>
  <c r="T57" i="10"/>
  <c r="K57" i="10"/>
  <c r="L57" i="10"/>
  <c r="Z57" i="10"/>
  <c r="Q57" i="10"/>
  <c r="V56" i="10"/>
  <c r="S56" i="10"/>
  <c r="K56" i="10"/>
  <c r="T56" i="10"/>
  <c r="N56" i="10"/>
  <c r="Y56" i="10"/>
  <c r="Z56" i="10"/>
  <c r="L56" i="10"/>
  <c r="E17" i="10"/>
  <c r="E16" i="10"/>
  <c r="E15" i="10"/>
  <c r="D16" i="10"/>
  <c r="D17" i="10"/>
  <c r="D15" i="10"/>
  <c r="C17" i="10"/>
  <c r="C16" i="10"/>
  <c r="C15" i="10"/>
  <c r="B16" i="10"/>
  <c r="B17" i="10"/>
  <c r="B15" i="10"/>
  <c r="T59" i="10" l="1"/>
  <c r="P59" i="10"/>
  <c r="X59" i="10"/>
  <c r="N59" i="10"/>
  <c r="V59" i="10"/>
  <c r="L59" i="10"/>
  <c r="Z59" i="10"/>
  <c r="O59" i="10"/>
  <c r="M59" i="10"/>
  <c r="AC59" i="10"/>
  <c r="Y59" i="10"/>
  <c r="AB59" i="10"/>
  <c r="S59" i="10"/>
  <c r="W59" i="10"/>
  <c r="K59" i="10"/>
  <c r="B18" i="10"/>
  <c r="B19" i="10" s="1"/>
  <c r="D18" i="10"/>
  <c r="D19" i="10" s="1"/>
  <c r="F24" i="10" s="1"/>
  <c r="C49" i="9"/>
  <c r="N63" i="4"/>
  <c r="O63" i="4"/>
  <c r="P63" i="4"/>
  <c r="Q63" i="4"/>
  <c r="R63" i="4"/>
  <c r="S63" i="4"/>
  <c r="T63" i="4"/>
  <c r="U63" i="4"/>
  <c r="V63" i="4"/>
  <c r="W63" i="4"/>
  <c r="M63" i="4"/>
  <c r="N52" i="4"/>
  <c r="O52" i="4"/>
  <c r="P52" i="4"/>
  <c r="Q52" i="4"/>
  <c r="R52" i="4"/>
  <c r="S52" i="4"/>
  <c r="T52" i="4"/>
  <c r="U52" i="4"/>
  <c r="V52" i="4"/>
  <c r="W52" i="4"/>
  <c r="M52" i="4"/>
  <c r="N41" i="4"/>
  <c r="O41" i="4"/>
  <c r="P41" i="4"/>
  <c r="Q41" i="4"/>
  <c r="R41" i="4"/>
  <c r="S41" i="4"/>
  <c r="T41" i="4"/>
  <c r="U41" i="4"/>
  <c r="V41" i="4"/>
  <c r="W41" i="4"/>
  <c r="M41" i="4"/>
  <c r="F49" i="3"/>
  <c r="F41" i="3"/>
  <c r="F34" i="3"/>
  <c r="F27" i="10" l="1"/>
  <c r="F26" i="10"/>
  <c r="F25" i="10"/>
  <c r="D25" i="10"/>
  <c r="D24" i="10"/>
  <c r="D26" i="10"/>
  <c r="D27" i="10"/>
  <c r="E6" i="5" l="1"/>
  <c r="D6" i="5"/>
  <c r="C6" i="5"/>
  <c r="D56" i="9" l="1"/>
  <c r="E56" i="9"/>
  <c r="F56" i="9"/>
  <c r="G56" i="9"/>
  <c r="H56" i="9"/>
  <c r="I56" i="9"/>
  <c r="J56" i="9"/>
  <c r="K56" i="9"/>
  <c r="L56" i="9"/>
  <c r="M56" i="9"/>
  <c r="N56" i="9"/>
  <c r="O56" i="9"/>
  <c r="P56" i="9"/>
  <c r="Q56" i="9"/>
  <c r="R56" i="9"/>
  <c r="S56" i="9"/>
  <c r="T56" i="9"/>
  <c r="U56" i="9"/>
  <c r="V56" i="9"/>
  <c r="W56" i="9"/>
  <c r="D55" i="9"/>
  <c r="E55" i="9"/>
  <c r="F55" i="9"/>
  <c r="G55" i="9"/>
  <c r="H55" i="9"/>
  <c r="I55" i="9"/>
  <c r="J55" i="9"/>
  <c r="K55" i="9"/>
  <c r="L55" i="9"/>
  <c r="M55" i="9"/>
  <c r="N55" i="9"/>
  <c r="O55" i="9"/>
  <c r="P55" i="9"/>
  <c r="Q55" i="9"/>
  <c r="R55" i="9"/>
  <c r="S55" i="9"/>
  <c r="T55" i="9"/>
  <c r="U55" i="9"/>
  <c r="V55" i="9"/>
  <c r="W55" i="9"/>
  <c r="D53" i="9"/>
  <c r="E53" i="9"/>
  <c r="F53" i="9"/>
  <c r="G53" i="9"/>
  <c r="H53" i="9"/>
  <c r="I53" i="9"/>
  <c r="J53" i="9"/>
  <c r="K53" i="9"/>
  <c r="L53" i="9"/>
  <c r="M53" i="9"/>
  <c r="N53" i="9"/>
  <c r="O53" i="9"/>
  <c r="P53" i="9"/>
  <c r="Q53" i="9"/>
  <c r="R53" i="9"/>
  <c r="S53" i="9"/>
  <c r="T53" i="9"/>
  <c r="U53" i="9"/>
  <c r="V53" i="9"/>
  <c r="W53" i="9"/>
  <c r="D52" i="9"/>
  <c r="E52" i="9"/>
  <c r="F52" i="9"/>
  <c r="G52" i="9"/>
  <c r="H52" i="9"/>
  <c r="I52" i="9"/>
  <c r="J52" i="9"/>
  <c r="K52" i="9"/>
  <c r="L52" i="9"/>
  <c r="M52" i="9"/>
  <c r="N52" i="9"/>
  <c r="O52" i="9"/>
  <c r="P52" i="9"/>
  <c r="Q52" i="9"/>
  <c r="R52" i="9"/>
  <c r="S52" i="9"/>
  <c r="T52" i="9"/>
  <c r="U52" i="9"/>
  <c r="V52" i="9"/>
  <c r="W52" i="9"/>
  <c r="C56" i="9"/>
  <c r="C55" i="9"/>
  <c r="C53" i="9"/>
  <c r="C52" i="9"/>
  <c r="D50" i="9"/>
  <c r="E50" i="9"/>
  <c r="F50" i="9"/>
  <c r="G50" i="9"/>
  <c r="H50" i="9"/>
  <c r="I50" i="9"/>
  <c r="J50" i="9"/>
  <c r="K50" i="9"/>
  <c r="L50" i="9"/>
  <c r="M50" i="9"/>
  <c r="N50" i="9"/>
  <c r="O50" i="9"/>
  <c r="P50" i="9"/>
  <c r="Q50" i="9"/>
  <c r="R50" i="9"/>
  <c r="S50" i="9"/>
  <c r="T50" i="9"/>
  <c r="U50" i="9"/>
  <c r="V50" i="9"/>
  <c r="W50" i="9"/>
  <c r="C50" i="9"/>
  <c r="D49" i="9"/>
  <c r="E49" i="9"/>
  <c r="F49" i="9"/>
  <c r="G49" i="9"/>
  <c r="H49" i="9"/>
  <c r="I49" i="9"/>
  <c r="J49" i="9"/>
  <c r="K49" i="9"/>
  <c r="L49" i="9"/>
  <c r="M49" i="9"/>
  <c r="N49" i="9"/>
  <c r="O49" i="9"/>
  <c r="P49" i="9"/>
  <c r="Q49" i="9"/>
  <c r="R49" i="9"/>
  <c r="S49" i="9"/>
  <c r="T49" i="9"/>
  <c r="U49" i="9"/>
  <c r="V49" i="9"/>
  <c r="W49" i="9"/>
  <c r="E56" i="2" l="1"/>
  <c r="F52" i="2"/>
  <c r="C51" i="2"/>
  <c r="C52" i="2" s="1"/>
  <c r="E50" i="2"/>
  <c r="H50" i="2" s="1"/>
  <c r="D50" i="2"/>
  <c r="G50" i="2" s="1"/>
  <c r="E49" i="2"/>
  <c r="H49" i="2" s="1"/>
  <c r="D49" i="2"/>
  <c r="G49" i="2" s="1"/>
  <c r="E48" i="2"/>
  <c r="H48" i="2" s="1"/>
  <c r="D48" i="2"/>
  <c r="G48" i="2" s="1"/>
  <c r="E47" i="2"/>
  <c r="H47" i="2" s="1"/>
  <c r="D47" i="2"/>
  <c r="G47" i="2" s="1"/>
  <c r="E46" i="2"/>
  <c r="H46" i="2" s="1"/>
  <c r="D46" i="2"/>
  <c r="G46" i="2" s="1"/>
  <c r="E45" i="2"/>
  <c r="H45" i="2" s="1"/>
  <c r="D45" i="2"/>
  <c r="G45" i="2" s="1"/>
  <c r="E44" i="2"/>
  <c r="D44" i="2"/>
  <c r="F37" i="2"/>
  <c r="F38" i="2" s="1"/>
  <c r="E37" i="2"/>
  <c r="E38" i="2" s="1"/>
  <c r="D37" i="2"/>
  <c r="D38" i="2" s="1"/>
  <c r="C37" i="2"/>
  <c r="C38" i="2" s="1"/>
  <c r="H34" i="2"/>
  <c r="H33" i="2"/>
  <c r="G33" i="2"/>
  <c r="H32" i="2"/>
  <c r="G32" i="2"/>
  <c r="H31" i="2"/>
  <c r="G31" i="2"/>
  <c r="H30" i="2"/>
  <c r="D51" i="2" l="1"/>
  <c r="G44" i="2"/>
  <c r="G51" i="2" s="1"/>
  <c r="G52" i="2" s="1"/>
  <c r="G56" i="2" s="1"/>
  <c r="E51" i="2"/>
  <c r="E52" i="2" s="1"/>
  <c r="H44" i="2"/>
  <c r="H51" i="2" s="1"/>
  <c r="G37" i="2"/>
  <c r="G38" i="2" s="1"/>
  <c r="H37" i="2"/>
  <c r="H38" i="2" s="1"/>
  <c r="H56" i="2" l="1"/>
  <c r="H52" i="2"/>
  <c r="D56" i="2"/>
  <c r="D52" i="2"/>
  <c r="AG86" i="7"/>
  <c r="AF86" i="7"/>
  <c r="AE86" i="7"/>
  <c r="AD86" i="7"/>
  <c r="AK73" i="7"/>
  <c r="AG81" i="7" s="1"/>
  <c r="AJ73" i="7"/>
  <c r="AF81" i="7" s="1"/>
  <c r="AI73" i="7"/>
  <c r="AE81" i="7" s="1"/>
  <c r="AH73" i="7"/>
  <c r="AD81" i="7" s="1"/>
  <c r="AG73" i="7"/>
  <c r="AG80" i="7" s="1"/>
  <c r="AF73" i="7"/>
  <c r="AF80" i="7" s="1"/>
  <c r="AE73" i="7"/>
  <c r="AE80" i="7" s="1"/>
  <c r="AD73" i="7"/>
  <c r="AD80" i="7" s="1"/>
  <c r="AC73" i="7"/>
  <c r="AG79" i="7" s="1"/>
  <c r="AB73" i="7"/>
  <c r="AF79" i="7" s="1"/>
  <c r="AA73" i="7"/>
  <c r="AE79" i="7" s="1"/>
  <c r="Z73" i="7"/>
  <c r="AD79" i="7" s="1"/>
  <c r="Y73" i="7"/>
  <c r="AG78" i="7" s="1"/>
  <c r="X73" i="7"/>
  <c r="AF78" i="7" s="1"/>
  <c r="W73" i="7"/>
  <c r="AE78" i="7" s="1"/>
  <c r="V73" i="7"/>
  <c r="AD78" i="7" s="1"/>
  <c r="U73" i="7"/>
  <c r="N81" i="7" s="1"/>
  <c r="T73" i="7"/>
  <c r="M81" i="7" s="1"/>
  <c r="S73" i="7"/>
  <c r="L81" i="7" s="1"/>
  <c r="R73" i="7"/>
  <c r="Q73" i="7"/>
  <c r="N80" i="7" s="1"/>
  <c r="P73" i="7"/>
  <c r="M80" i="7" s="1"/>
  <c r="O73" i="7"/>
  <c r="L80" i="7" s="1"/>
  <c r="N73" i="7"/>
  <c r="K80" i="7" s="1"/>
  <c r="M73" i="7"/>
  <c r="N79" i="7" s="1"/>
  <c r="L73" i="7"/>
  <c r="M79" i="7" s="1"/>
  <c r="K73" i="7"/>
  <c r="L79" i="7" s="1"/>
  <c r="J73" i="7"/>
  <c r="K79" i="7" s="1"/>
  <c r="I73" i="7"/>
  <c r="N78" i="7" s="1"/>
  <c r="H73" i="7"/>
  <c r="M78" i="7" s="1"/>
  <c r="G73" i="7"/>
  <c r="L78" i="7" s="1"/>
  <c r="F73" i="7"/>
  <c r="K78" i="7" s="1"/>
  <c r="M18" i="6"/>
  <c r="L18" i="6"/>
  <c r="K18" i="6"/>
  <c r="J18" i="6"/>
  <c r="I18" i="6"/>
  <c r="H18" i="6"/>
  <c r="G18" i="6"/>
  <c r="F18" i="6"/>
  <c r="M16" i="6"/>
  <c r="L16" i="6"/>
  <c r="J16" i="6"/>
  <c r="H16" i="6"/>
  <c r="F16" i="6"/>
  <c r="M13" i="6"/>
  <c r="L13" i="6"/>
  <c r="K13" i="6"/>
  <c r="J13" i="6"/>
  <c r="I13" i="6"/>
  <c r="H13" i="6"/>
  <c r="G13" i="6"/>
  <c r="F13" i="6"/>
  <c r="M11" i="6"/>
  <c r="M19" i="6" s="1"/>
  <c r="L11" i="6"/>
  <c r="L19" i="6" s="1"/>
  <c r="K11" i="6"/>
  <c r="J11" i="6"/>
  <c r="I11" i="6"/>
  <c r="H11" i="6"/>
  <c r="G11" i="6"/>
  <c r="F11" i="6"/>
  <c r="G27" i="6" l="1"/>
  <c r="G36" i="6"/>
  <c r="H27" i="6"/>
  <c r="H36" i="6"/>
  <c r="H19" i="6"/>
  <c r="F19" i="6"/>
  <c r="J19" i="6"/>
  <c r="O80" i="7"/>
  <c r="AH78" i="7"/>
  <c r="AH81" i="7"/>
  <c r="O78" i="7"/>
  <c r="O79" i="7"/>
  <c r="K81" i="7"/>
  <c r="O81" i="7" s="1"/>
  <c r="AH79" i="7"/>
  <c r="AH80" i="7"/>
  <c r="G16" i="6"/>
  <c r="G19" i="6" s="1"/>
  <c r="K16" i="6"/>
  <c r="K19" i="6" s="1"/>
  <c r="I16" i="6"/>
  <c r="I19" i="6" s="1"/>
  <c r="H26" i="6" l="1"/>
  <c r="H35" i="6"/>
  <c r="H25" i="6"/>
  <c r="H34" i="6"/>
  <c r="H24" i="6"/>
  <c r="H33" i="6"/>
  <c r="G25" i="6"/>
  <c r="G34" i="6"/>
  <c r="I34" i="6" s="1"/>
  <c r="G24" i="6"/>
  <c r="G33" i="6"/>
  <c r="I33" i="6" s="1"/>
  <c r="G26" i="6"/>
  <c r="G35" i="6"/>
  <c r="I35" i="6" s="1"/>
  <c r="I36" i="6"/>
  <c r="I27" i="6"/>
  <c r="I24" i="6"/>
  <c r="I25" i="6"/>
  <c r="I26" i="6" l="1"/>
  <c r="N61" i="4"/>
  <c r="O61" i="4"/>
  <c r="P61" i="4"/>
  <c r="Q61" i="4"/>
  <c r="R61" i="4"/>
  <c r="S61" i="4"/>
  <c r="T61" i="4"/>
  <c r="U61" i="4"/>
  <c r="V61" i="4"/>
  <c r="W61" i="4"/>
  <c r="M61" i="4"/>
  <c r="N50" i="4"/>
  <c r="O50" i="4"/>
  <c r="P50" i="4"/>
  <c r="Q50" i="4"/>
  <c r="R50" i="4"/>
  <c r="S50" i="4"/>
  <c r="T50" i="4"/>
  <c r="U50" i="4"/>
  <c r="V50" i="4"/>
  <c r="W50" i="4"/>
  <c r="M50" i="4"/>
  <c r="N39" i="4"/>
  <c r="O39" i="4"/>
  <c r="P39" i="4"/>
  <c r="Q39" i="4"/>
  <c r="R39" i="4"/>
  <c r="S39" i="4"/>
  <c r="T39" i="4"/>
  <c r="U39" i="4"/>
  <c r="V39" i="4"/>
  <c r="W39" i="4"/>
  <c r="M39" i="4"/>
  <c r="X61" i="4" l="1"/>
  <c r="X63" i="4"/>
  <c r="X41" i="4"/>
  <c r="X52" i="4"/>
  <c r="X50" i="4"/>
  <c r="X39" i="4"/>
  <c r="F47" i="3" l="1"/>
  <c r="F39" i="3"/>
  <c r="F32" i="3"/>
  <c r="E31" i="4" l="1"/>
  <c r="F31" i="4"/>
  <c r="G31" i="4"/>
  <c r="H31" i="4"/>
  <c r="I31" i="4"/>
  <c r="J31" i="4"/>
  <c r="K31" i="4"/>
  <c r="L31" i="4"/>
  <c r="M31" i="4"/>
  <c r="N31" i="4"/>
  <c r="O31" i="4"/>
  <c r="P31" i="4"/>
  <c r="Q31" i="4"/>
  <c r="R31" i="4"/>
  <c r="S31" i="4"/>
  <c r="T31" i="4"/>
  <c r="U31" i="4"/>
  <c r="V31" i="4"/>
  <c r="W31" i="4"/>
  <c r="D31" i="4"/>
  <c r="C31" i="4"/>
  <c r="E21" i="4"/>
  <c r="F21" i="4"/>
  <c r="G21" i="4"/>
  <c r="H21" i="4"/>
  <c r="I21" i="4"/>
  <c r="J21" i="4"/>
  <c r="K21" i="4"/>
  <c r="L21" i="4"/>
  <c r="M21" i="4"/>
  <c r="N21" i="4"/>
  <c r="O21" i="4"/>
  <c r="P21" i="4"/>
  <c r="Q21" i="4"/>
  <c r="R21" i="4"/>
  <c r="S21" i="4"/>
  <c r="T21" i="4"/>
  <c r="U21" i="4"/>
  <c r="V21" i="4"/>
  <c r="W21" i="4"/>
  <c r="D21" i="4"/>
  <c r="C21" i="4"/>
  <c r="W11" i="4"/>
  <c r="E11" i="4"/>
  <c r="F11" i="4"/>
  <c r="G11" i="4"/>
  <c r="H11" i="4"/>
  <c r="I11" i="4"/>
  <c r="J11" i="4"/>
  <c r="K11" i="4"/>
  <c r="L11" i="4"/>
  <c r="M11" i="4"/>
  <c r="N11" i="4"/>
  <c r="O11" i="4"/>
  <c r="P11" i="4"/>
  <c r="Q11" i="4"/>
  <c r="R11" i="4"/>
  <c r="S11" i="4"/>
  <c r="T11" i="4"/>
  <c r="U11" i="4"/>
  <c r="V11" i="4"/>
  <c r="D11" i="4"/>
  <c r="C11" i="4"/>
  <c r="W27" i="4"/>
  <c r="D27" i="4"/>
  <c r="E27" i="4"/>
  <c r="F27" i="4"/>
  <c r="G27" i="4"/>
  <c r="H27" i="4"/>
  <c r="I27" i="4"/>
  <c r="J27" i="4"/>
  <c r="K27" i="4"/>
  <c r="L27" i="4"/>
  <c r="M27" i="4"/>
  <c r="N27" i="4"/>
  <c r="O27" i="4"/>
  <c r="P27" i="4"/>
  <c r="Q27" i="4"/>
  <c r="R27" i="4"/>
  <c r="S27" i="4"/>
  <c r="T27" i="4"/>
  <c r="U27" i="4"/>
  <c r="V27" i="4"/>
  <c r="C27" i="4"/>
  <c r="D17" i="4"/>
  <c r="E17" i="4"/>
  <c r="F17" i="4"/>
  <c r="G17" i="4"/>
  <c r="H17" i="4"/>
  <c r="I17" i="4"/>
  <c r="J17" i="4"/>
  <c r="K17" i="4"/>
  <c r="L17" i="4"/>
  <c r="M17" i="4"/>
  <c r="N17" i="4"/>
  <c r="O17" i="4"/>
  <c r="P17" i="4"/>
  <c r="Q17" i="4"/>
  <c r="R17" i="4"/>
  <c r="S17" i="4"/>
  <c r="T17" i="4"/>
  <c r="U17" i="4"/>
  <c r="V17" i="4"/>
  <c r="W17" i="4"/>
  <c r="C17" i="4"/>
  <c r="C19" i="4" s="1"/>
  <c r="D7" i="4"/>
  <c r="E7" i="4"/>
  <c r="F7" i="4"/>
  <c r="G7" i="4"/>
  <c r="H7" i="4"/>
  <c r="I7" i="4"/>
  <c r="J7" i="4"/>
  <c r="K7" i="4"/>
  <c r="L7" i="4"/>
  <c r="M7" i="4"/>
  <c r="N7" i="4"/>
  <c r="O7" i="4"/>
  <c r="P7" i="4"/>
  <c r="Q7" i="4"/>
  <c r="R7" i="4"/>
  <c r="S7" i="4"/>
  <c r="T7" i="4"/>
  <c r="U7" i="4"/>
  <c r="V7" i="4"/>
  <c r="W7" i="4"/>
  <c r="C7" i="4"/>
  <c r="C9" i="4" s="1"/>
  <c r="C40" i="4" s="1"/>
  <c r="C79" i="4" s="1"/>
  <c r="C91" i="4" l="1"/>
  <c r="T8" i="4"/>
  <c r="P8" i="4"/>
  <c r="L8" i="4"/>
  <c r="H8" i="4"/>
  <c r="E9" i="4"/>
  <c r="E40" i="4" s="1"/>
  <c r="E79" i="4" s="1"/>
  <c r="E91" i="4" s="1"/>
  <c r="V28" i="4"/>
  <c r="R28" i="4"/>
  <c r="N28" i="4"/>
  <c r="J28" i="4"/>
  <c r="G28" i="4"/>
  <c r="W9" i="4"/>
  <c r="W40" i="4" s="1"/>
  <c r="W79" i="4" s="1"/>
  <c r="W91" i="4" s="1"/>
  <c r="C53" i="4"/>
  <c r="C83" i="4" s="1"/>
  <c r="C51" i="4"/>
  <c r="C82" i="4" s="1"/>
  <c r="T19" i="4"/>
  <c r="P19" i="4"/>
  <c r="L19" i="4"/>
  <c r="H19" i="4"/>
  <c r="T29" i="4"/>
  <c r="P29" i="4"/>
  <c r="L29" i="4"/>
  <c r="H29" i="4"/>
  <c r="D8" i="4"/>
  <c r="G9" i="4"/>
  <c r="F9" i="4"/>
  <c r="F40" i="4" s="1"/>
  <c r="F79" i="4" s="1"/>
  <c r="F91" i="4" s="1"/>
  <c r="S18" i="4"/>
  <c r="O18" i="4"/>
  <c r="S9" i="4"/>
  <c r="S40" i="4" s="1"/>
  <c r="S79" i="4" s="1"/>
  <c r="S91" i="4" s="1"/>
  <c r="O9" i="4"/>
  <c r="O40" i="4" s="1"/>
  <c r="O79" i="4" s="1"/>
  <c r="O91" i="4" s="1"/>
  <c r="D19" i="4"/>
  <c r="P18" i="4"/>
  <c r="C8" i="4"/>
  <c r="M8" i="4"/>
  <c r="V9" i="4"/>
  <c r="V40" i="4" s="1"/>
  <c r="V79" i="4" s="1"/>
  <c r="V91" i="4" s="1"/>
  <c r="J9" i="4"/>
  <c r="J40" i="4" s="1"/>
  <c r="J79" i="4" s="1"/>
  <c r="J91" i="4" s="1"/>
  <c r="W19" i="4"/>
  <c r="K19" i="4"/>
  <c r="G19" i="4"/>
  <c r="C29" i="4"/>
  <c r="S29" i="4"/>
  <c r="O29" i="4"/>
  <c r="K29" i="4"/>
  <c r="G29" i="4"/>
  <c r="W29" i="4"/>
  <c r="F28" i="4"/>
  <c r="U28" i="4"/>
  <c r="Q28" i="4"/>
  <c r="M28" i="4"/>
  <c r="I28" i="4"/>
  <c r="W18" i="4"/>
  <c r="K18" i="4"/>
  <c r="G18" i="4"/>
  <c r="K9" i="4"/>
  <c r="K40" i="4" s="1"/>
  <c r="K79" i="4" s="1"/>
  <c r="K91" i="4" s="1"/>
  <c r="D29" i="4"/>
  <c r="D18" i="4"/>
  <c r="L18" i="4"/>
  <c r="U8" i="4"/>
  <c r="E8" i="4"/>
  <c r="N9" i="4"/>
  <c r="N40" i="4" s="1"/>
  <c r="N79" i="4" s="1"/>
  <c r="N91" i="4" s="1"/>
  <c r="S19" i="4"/>
  <c r="Q9" i="4"/>
  <c r="Q40" i="4" s="1"/>
  <c r="Q79" i="4" s="1"/>
  <c r="Q91" i="4" s="1"/>
  <c r="I9" i="4"/>
  <c r="I40" i="4" s="1"/>
  <c r="I79" i="4" s="1"/>
  <c r="I91" i="4" s="1"/>
  <c r="V19" i="4"/>
  <c r="R19" i="4"/>
  <c r="N19" i="4"/>
  <c r="J19" i="4"/>
  <c r="F19" i="4"/>
  <c r="V29" i="4"/>
  <c r="R29" i="4"/>
  <c r="N29" i="4"/>
  <c r="J29" i="4"/>
  <c r="F29" i="4"/>
  <c r="C28" i="4"/>
  <c r="E28" i="4"/>
  <c r="T28" i="4"/>
  <c r="P28" i="4"/>
  <c r="L28" i="4"/>
  <c r="H28" i="4"/>
  <c r="V18" i="4"/>
  <c r="R18" i="4"/>
  <c r="N18" i="4"/>
  <c r="J18" i="4"/>
  <c r="F18" i="4"/>
  <c r="W8" i="4"/>
  <c r="S8" i="4"/>
  <c r="O8" i="4"/>
  <c r="K8" i="4"/>
  <c r="G8" i="4"/>
  <c r="T18" i="4"/>
  <c r="H18" i="4"/>
  <c r="Q8" i="4"/>
  <c r="I8" i="4"/>
  <c r="R9" i="4"/>
  <c r="R40" i="4" s="1"/>
  <c r="R79" i="4" s="1"/>
  <c r="R91" i="4" s="1"/>
  <c r="O19" i="4"/>
  <c r="U9" i="4"/>
  <c r="U40" i="4" s="1"/>
  <c r="U79" i="4" s="1"/>
  <c r="U91" i="4" s="1"/>
  <c r="M9" i="4"/>
  <c r="M40" i="4" s="1"/>
  <c r="M79" i="4" s="1"/>
  <c r="M91" i="4" s="1"/>
  <c r="C42" i="4"/>
  <c r="C80" i="4" s="1"/>
  <c r="T9" i="4"/>
  <c r="T40" i="4" s="1"/>
  <c r="T79" i="4" s="1"/>
  <c r="T91" i="4" s="1"/>
  <c r="P9" i="4"/>
  <c r="P40" i="4" s="1"/>
  <c r="P79" i="4" s="1"/>
  <c r="P91" i="4" s="1"/>
  <c r="L9" i="4"/>
  <c r="L40" i="4" s="1"/>
  <c r="L79" i="4" s="1"/>
  <c r="L91" i="4" s="1"/>
  <c r="H9" i="4"/>
  <c r="H40" i="4" s="1"/>
  <c r="H79" i="4" s="1"/>
  <c r="H91" i="4" s="1"/>
  <c r="D9" i="4"/>
  <c r="D40" i="4" s="1"/>
  <c r="D79" i="4" s="1"/>
  <c r="U19" i="4"/>
  <c r="Q19" i="4"/>
  <c r="M19" i="4"/>
  <c r="I19" i="4"/>
  <c r="E19" i="4"/>
  <c r="U29" i="4"/>
  <c r="Q29" i="4"/>
  <c r="M29" i="4"/>
  <c r="I29" i="4"/>
  <c r="E29" i="4"/>
  <c r="D28" i="4"/>
  <c r="W28" i="4"/>
  <c r="S28" i="4"/>
  <c r="O28" i="4"/>
  <c r="K28" i="4"/>
  <c r="C18" i="4"/>
  <c r="U18" i="4"/>
  <c r="Q18" i="4"/>
  <c r="M18" i="4"/>
  <c r="I18" i="4"/>
  <c r="E18" i="4"/>
  <c r="V8" i="4"/>
  <c r="R8" i="4"/>
  <c r="N8" i="4"/>
  <c r="J8" i="4"/>
  <c r="F8" i="4"/>
  <c r="D91" i="4" l="1"/>
  <c r="C92" i="4"/>
  <c r="C94" i="4"/>
  <c r="C95" i="4"/>
  <c r="E42" i="4"/>
  <c r="E80" i="4" s="1"/>
  <c r="E92" i="4" s="1"/>
  <c r="W42" i="4"/>
  <c r="W80" i="4" s="1"/>
  <c r="W92" i="4" s="1"/>
  <c r="F42" i="4"/>
  <c r="F80" i="4" s="1"/>
  <c r="F92" i="4" s="1"/>
  <c r="M64" i="4"/>
  <c r="M86" i="4" s="1"/>
  <c r="M98" i="4" s="1"/>
  <c r="M62" i="4"/>
  <c r="M85" i="4" s="1"/>
  <c r="M97" i="4" s="1"/>
  <c r="O53" i="4"/>
  <c r="O83" i="4" s="1"/>
  <c r="O95" i="4" s="1"/>
  <c r="O51" i="4"/>
  <c r="O82" i="4" s="1"/>
  <c r="O94" i="4" s="1"/>
  <c r="F64" i="4"/>
  <c r="F86" i="4" s="1"/>
  <c r="F98" i="4" s="1"/>
  <c r="F62" i="4"/>
  <c r="F85" i="4" s="1"/>
  <c r="F97" i="4" s="1"/>
  <c r="K64" i="4"/>
  <c r="K86" i="4" s="1"/>
  <c r="K98" i="4" s="1"/>
  <c r="K62" i="4"/>
  <c r="K85" i="4" s="1"/>
  <c r="K97" i="4" s="1"/>
  <c r="G53" i="4"/>
  <c r="G83" i="4" s="1"/>
  <c r="G95" i="4" s="1"/>
  <c r="G51" i="4"/>
  <c r="G82" i="4" s="1"/>
  <c r="G94" i="4" s="1"/>
  <c r="D53" i="4"/>
  <c r="D83" i="4" s="1"/>
  <c r="D51" i="4"/>
  <c r="D82" i="4" s="1"/>
  <c r="H64" i="4"/>
  <c r="H86" i="4" s="1"/>
  <c r="H98" i="4" s="1"/>
  <c r="H62" i="4"/>
  <c r="H85" i="4" s="1"/>
  <c r="H97" i="4" s="1"/>
  <c r="Q64" i="4"/>
  <c r="Q86" i="4" s="1"/>
  <c r="Q98" i="4" s="1"/>
  <c r="Q62" i="4"/>
  <c r="Q85" i="4" s="1"/>
  <c r="Q97" i="4" s="1"/>
  <c r="J62" i="4"/>
  <c r="J85" i="4" s="1"/>
  <c r="J97" i="4" s="1"/>
  <c r="J64" i="4"/>
  <c r="J86" i="4" s="1"/>
  <c r="J98" i="4" s="1"/>
  <c r="V53" i="4"/>
  <c r="V83" i="4" s="1"/>
  <c r="V95" i="4" s="1"/>
  <c r="V51" i="4"/>
  <c r="V82" i="4" s="1"/>
  <c r="V94" i="4" s="1"/>
  <c r="O64" i="4"/>
  <c r="O86" i="4" s="1"/>
  <c r="O98" i="4" s="1"/>
  <c r="O62" i="4"/>
  <c r="O85" i="4" s="1"/>
  <c r="O97" i="4" s="1"/>
  <c r="L53" i="4"/>
  <c r="L83" i="4" s="1"/>
  <c r="L95" i="4" s="1"/>
  <c r="L51" i="4"/>
  <c r="L82" i="4" s="1"/>
  <c r="L94" i="4" s="1"/>
  <c r="E64" i="4"/>
  <c r="E86" i="4" s="1"/>
  <c r="E98" i="4" s="1"/>
  <c r="E62" i="4"/>
  <c r="E85" i="4" s="1"/>
  <c r="E97" i="4" s="1"/>
  <c r="U64" i="4"/>
  <c r="U86" i="4" s="1"/>
  <c r="U98" i="4" s="1"/>
  <c r="U62" i="4"/>
  <c r="U85" i="4" s="1"/>
  <c r="U97" i="4" s="1"/>
  <c r="Q53" i="4"/>
  <c r="Q83" i="4" s="1"/>
  <c r="Q95" i="4" s="1"/>
  <c r="Q51" i="4"/>
  <c r="Q82" i="4" s="1"/>
  <c r="Q94" i="4" s="1"/>
  <c r="N64" i="4"/>
  <c r="N86" i="4" s="1"/>
  <c r="N98" i="4" s="1"/>
  <c r="N62" i="4"/>
  <c r="N85" i="4" s="1"/>
  <c r="N97" i="4" s="1"/>
  <c r="J53" i="4"/>
  <c r="J83" i="4" s="1"/>
  <c r="J95" i="4" s="1"/>
  <c r="J51" i="4"/>
  <c r="J82" i="4" s="1"/>
  <c r="J94" i="4" s="1"/>
  <c r="W64" i="4"/>
  <c r="W86" i="4" s="1"/>
  <c r="W98" i="4" s="1"/>
  <c r="W62" i="4"/>
  <c r="W85" i="4" s="1"/>
  <c r="W97" i="4" s="1"/>
  <c r="S64" i="4"/>
  <c r="S86" i="4" s="1"/>
  <c r="S98" i="4" s="1"/>
  <c r="S62" i="4"/>
  <c r="S85" i="4" s="1"/>
  <c r="S97" i="4" s="1"/>
  <c r="W53" i="4"/>
  <c r="W83" i="4" s="1"/>
  <c r="W95" i="4" s="1"/>
  <c r="W51" i="4"/>
  <c r="W82" i="4" s="1"/>
  <c r="W94" i="4" s="1"/>
  <c r="G42" i="4"/>
  <c r="G80" i="4" s="1"/>
  <c r="G92" i="4" s="1"/>
  <c r="G40" i="4"/>
  <c r="G79" i="4" s="1"/>
  <c r="P64" i="4"/>
  <c r="P86" i="4" s="1"/>
  <c r="P98" i="4" s="1"/>
  <c r="P62" i="4"/>
  <c r="P85" i="4" s="1"/>
  <c r="P97" i="4" s="1"/>
  <c r="P53" i="4"/>
  <c r="P83" i="4" s="1"/>
  <c r="P95" i="4" s="1"/>
  <c r="P51" i="4"/>
  <c r="P82" i="4" s="1"/>
  <c r="P94" i="4" s="1"/>
  <c r="I53" i="4"/>
  <c r="I83" i="4" s="1"/>
  <c r="I95" i="4" s="1"/>
  <c r="I51" i="4"/>
  <c r="I82" i="4" s="1"/>
  <c r="I94" i="4" s="1"/>
  <c r="V64" i="4"/>
  <c r="V86" i="4" s="1"/>
  <c r="V98" i="4" s="1"/>
  <c r="V62" i="4"/>
  <c r="V85" i="4" s="1"/>
  <c r="V97" i="4" s="1"/>
  <c r="R53" i="4"/>
  <c r="R83" i="4" s="1"/>
  <c r="R95" i="4" s="1"/>
  <c r="R51" i="4"/>
  <c r="R82" i="4" s="1"/>
  <c r="R94" i="4" s="1"/>
  <c r="H53" i="4"/>
  <c r="H83" i="4" s="1"/>
  <c r="H95" i="4" s="1"/>
  <c r="H51" i="4"/>
  <c r="H82" i="4" s="1"/>
  <c r="H94" i="4" s="1"/>
  <c r="M53" i="4"/>
  <c r="M83" i="4" s="1"/>
  <c r="M95" i="4" s="1"/>
  <c r="M51" i="4"/>
  <c r="M82" i="4" s="1"/>
  <c r="M94" i="4" s="1"/>
  <c r="F53" i="4"/>
  <c r="F83" i="4" s="1"/>
  <c r="F95" i="4" s="1"/>
  <c r="F51" i="4"/>
  <c r="F82" i="4" s="1"/>
  <c r="F94" i="4" s="1"/>
  <c r="S53" i="4"/>
  <c r="S83" i="4" s="1"/>
  <c r="S95" i="4" s="1"/>
  <c r="S51" i="4"/>
  <c r="S82" i="4" s="1"/>
  <c r="S94" i="4" s="1"/>
  <c r="K53" i="4"/>
  <c r="K83" i="4" s="1"/>
  <c r="K95" i="4" s="1"/>
  <c r="K51" i="4"/>
  <c r="K82" i="4" s="1"/>
  <c r="K94" i="4" s="1"/>
  <c r="L64" i="4"/>
  <c r="L86" i="4" s="1"/>
  <c r="L98" i="4" s="1"/>
  <c r="L62" i="4"/>
  <c r="L85" i="4" s="1"/>
  <c r="L97" i="4" s="1"/>
  <c r="I64" i="4"/>
  <c r="I86" i="4" s="1"/>
  <c r="I98" i="4" s="1"/>
  <c r="I62" i="4"/>
  <c r="I85" i="4" s="1"/>
  <c r="I97" i="4" s="1"/>
  <c r="E53" i="4"/>
  <c r="E83" i="4" s="1"/>
  <c r="E95" i="4" s="1"/>
  <c r="E51" i="4"/>
  <c r="E82" i="4" s="1"/>
  <c r="E94" i="4" s="1"/>
  <c r="U53" i="4"/>
  <c r="U83" i="4" s="1"/>
  <c r="U95" i="4" s="1"/>
  <c r="U51" i="4"/>
  <c r="U82" i="4" s="1"/>
  <c r="U94" i="4" s="1"/>
  <c r="R64" i="4"/>
  <c r="R86" i="4" s="1"/>
  <c r="R98" i="4" s="1"/>
  <c r="R62" i="4"/>
  <c r="R85" i="4" s="1"/>
  <c r="R97" i="4" s="1"/>
  <c r="N53" i="4"/>
  <c r="N83" i="4" s="1"/>
  <c r="N95" i="4" s="1"/>
  <c r="N51" i="4"/>
  <c r="N82" i="4" s="1"/>
  <c r="N94" i="4" s="1"/>
  <c r="D64" i="4"/>
  <c r="D86" i="4" s="1"/>
  <c r="D98" i="4" s="1"/>
  <c r="D62" i="4"/>
  <c r="D85" i="4" s="1"/>
  <c r="D97" i="4" s="1"/>
  <c r="G64" i="4"/>
  <c r="G86" i="4" s="1"/>
  <c r="G98" i="4" s="1"/>
  <c r="G62" i="4"/>
  <c r="G85" i="4" s="1"/>
  <c r="G97" i="4" s="1"/>
  <c r="C64" i="4"/>
  <c r="C86" i="4" s="1"/>
  <c r="C62" i="4"/>
  <c r="C85" i="4" s="1"/>
  <c r="T64" i="4"/>
  <c r="T86" i="4" s="1"/>
  <c r="T98" i="4" s="1"/>
  <c r="T62" i="4"/>
  <c r="T85" i="4" s="1"/>
  <c r="T97" i="4" s="1"/>
  <c r="T53" i="4"/>
  <c r="T83" i="4" s="1"/>
  <c r="T95" i="4" s="1"/>
  <c r="T51" i="4"/>
  <c r="T82" i="4" s="1"/>
  <c r="T94" i="4" s="1"/>
  <c r="F43" i="4"/>
  <c r="F45" i="4" s="1"/>
  <c r="F47" i="4" s="1"/>
  <c r="Q42" i="4"/>
  <c r="Q80" i="4" s="1"/>
  <c r="Q92" i="4" s="1"/>
  <c r="P42" i="4"/>
  <c r="P80" i="4" s="1"/>
  <c r="P92" i="4" s="1"/>
  <c r="M42" i="4"/>
  <c r="M80" i="4" s="1"/>
  <c r="M92" i="4" s="1"/>
  <c r="E43" i="4"/>
  <c r="E45" i="4" s="1"/>
  <c r="E47" i="4" s="1"/>
  <c r="L42" i="4"/>
  <c r="L80" i="4" s="1"/>
  <c r="L92" i="4" s="1"/>
  <c r="D42" i="4"/>
  <c r="D80" i="4" s="1"/>
  <c r="T42" i="4"/>
  <c r="T80" i="4" s="1"/>
  <c r="T92" i="4" s="1"/>
  <c r="U42" i="4"/>
  <c r="U80" i="4" s="1"/>
  <c r="U92" i="4" s="1"/>
  <c r="R42" i="4"/>
  <c r="R80" i="4" s="1"/>
  <c r="R92" i="4" s="1"/>
  <c r="C54" i="4"/>
  <c r="N42" i="4"/>
  <c r="N80" i="4" s="1"/>
  <c r="N92" i="4" s="1"/>
  <c r="K42" i="4"/>
  <c r="J42" i="4"/>
  <c r="J80" i="4" s="1"/>
  <c r="J92" i="4" s="1"/>
  <c r="O42" i="4"/>
  <c r="H42" i="4"/>
  <c r="H80" i="4" s="1"/>
  <c r="H92" i="4" s="1"/>
  <c r="C43" i="4"/>
  <c r="I42" i="4"/>
  <c r="I80" i="4" s="1"/>
  <c r="I92" i="4" s="1"/>
  <c r="W43" i="4"/>
  <c r="W45" i="4" s="1"/>
  <c r="W47" i="4" s="1"/>
  <c r="V42" i="4"/>
  <c r="S42" i="4"/>
  <c r="S43" i="4" l="1"/>
  <c r="S45" i="4" s="1"/>
  <c r="S47" i="4" s="1"/>
  <c r="S80" i="4"/>
  <c r="S92" i="4" s="1"/>
  <c r="V43" i="4"/>
  <c r="V45" i="4" s="1"/>
  <c r="V47" i="4" s="1"/>
  <c r="V80" i="4"/>
  <c r="V92" i="4" s="1"/>
  <c r="O43" i="4"/>
  <c r="O45" i="4" s="1"/>
  <c r="O47" i="4" s="1"/>
  <c r="O80" i="4"/>
  <c r="O92" i="4" s="1"/>
  <c r="K43" i="4"/>
  <c r="K45" i="4" s="1"/>
  <c r="K47" i="4" s="1"/>
  <c r="K80" i="4"/>
  <c r="K92" i="4" s="1"/>
  <c r="D92" i="4"/>
  <c r="X80" i="4"/>
  <c r="C97" i="4"/>
  <c r="X97" i="4" s="1"/>
  <c r="X85" i="4"/>
  <c r="C98" i="4"/>
  <c r="X98" i="4" s="1"/>
  <c r="X86" i="4"/>
  <c r="G91" i="4"/>
  <c r="X91" i="4" s="1"/>
  <c r="X79" i="4"/>
  <c r="D94" i="4"/>
  <c r="X82" i="4"/>
  <c r="D95" i="4"/>
  <c r="X83" i="4"/>
  <c r="X95" i="4"/>
  <c r="X94" i="4"/>
  <c r="X92" i="4"/>
  <c r="F65" i="4"/>
  <c r="F67" i="4" s="1"/>
  <c r="F69" i="4" s="1"/>
  <c r="T65" i="4"/>
  <c r="T67" i="4" s="1"/>
  <c r="T69" i="4" s="1"/>
  <c r="N54" i="4"/>
  <c r="N56" i="4" s="1"/>
  <c r="N58" i="4" s="1"/>
  <c r="H54" i="4"/>
  <c r="H56" i="4" s="1"/>
  <c r="H58" i="4" s="1"/>
  <c r="P54" i="4"/>
  <c r="P56" i="4" s="1"/>
  <c r="P58" i="4" s="1"/>
  <c r="G43" i="4"/>
  <c r="G45" i="4" s="1"/>
  <c r="G47" i="4" s="1"/>
  <c r="Q54" i="4"/>
  <c r="Q56" i="4" s="1"/>
  <c r="Q58" i="4" s="1"/>
  <c r="H65" i="4"/>
  <c r="H67" i="4" s="1"/>
  <c r="H69" i="4" s="1"/>
  <c r="G54" i="4"/>
  <c r="G56" i="4" s="1"/>
  <c r="G58" i="4" s="1"/>
  <c r="T54" i="4"/>
  <c r="T56" i="4" s="1"/>
  <c r="T58" i="4" s="1"/>
  <c r="L65" i="4"/>
  <c r="L67" i="4" s="1"/>
  <c r="L69" i="4" s="1"/>
  <c r="L54" i="4"/>
  <c r="L56" i="4" s="1"/>
  <c r="L58" i="4" s="1"/>
  <c r="D54" i="4"/>
  <c r="D56" i="4" s="1"/>
  <c r="D58" i="4" s="1"/>
  <c r="E54" i="4"/>
  <c r="E56" i="4" s="1"/>
  <c r="E58" i="4" s="1"/>
  <c r="M54" i="4"/>
  <c r="M56" i="4" s="1"/>
  <c r="M58" i="4" s="1"/>
  <c r="R54" i="4"/>
  <c r="R56" i="4" s="1"/>
  <c r="R58" i="4" s="1"/>
  <c r="P65" i="4"/>
  <c r="P67" i="4" s="1"/>
  <c r="P69" i="4" s="1"/>
  <c r="O54" i="4"/>
  <c r="O56" i="4" s="1"/>
  <c r="O58" i="4" s="1"/>
  <c r="C44" i="4"/>
  <c r="C45" i="4"/>
  <c r="C47" i="4" s="1"/>
  <c r="C55" i="4"/>
  <c r="D55" i="4" s="1"/>
  <c r="C56" i="4"/>
  <c r="C58" i="4" s="1"/>
  <c r="M43" i="4"/>
  <c r="M45" i="4" s="1"/>
  <c r="M47" i="4" s="1"/>
  <c r="Q43" i="4"/>
  <c r="Q45" i="4" s="1"/>
  <c r="Q47" i="4" s="1"/>
  <c r="T43" i="4"/>
  <c r="T45" i="4" s="1"/>
  <c r="T47" i="4" s="1"/>
  <c r="K54" i="4"/>
  <c r="K56" i="4" s="1"/>
  <c r="K58" i="4" s="1"/>
  <c r="S54" i="4"/>
  <c r="S56" i="4" s="1"/>
  <c r="S58" i="4" s="1"/>
  <c r="X53" i="4"/>
  <c r="J65" i="4"/>
  <c r="J67" i="4" s="1"/>
  <c r="J69" i="4" s="1"/>
  <c r="H43" i="4"/>
  <c r="H45" i="4" s="1"/>
  <c r="H47" i="4" s="1"/>
  <c r="G65" i="4"/>
  <c r="G67" i="4" s="1"/>
  <c r="G69" i="4" s="1"/>
  <c r="R65" i="4"/>
  <c r="R67" i="4" s="1"/>
  <c r="R69" i="4" s="1"/>
  <c r="X42" i="4"/>
  <c r="M65" i="4"/>
  <c r="M67" i="4" s="1"/>
  <c r="M69" i="4" s="1"/>
  <c r="L43" i="4"/>
  <c r="L45" i="4" s="1"/>
  <c r="L47" i="4" s="1"/>
  <c r="W54" i="4"/>
  <c r="W56" i="4" s="1"/>
  <c r="W58" i="4" s="1"/>
  <c r="N65" i="4"/>
  <c r="N67" i="4" s="1"/>
  <c r="N69" i="4" s="1"/>
  <c r="V65" i="4"/>
  <c r="V67" i="4" s="1"/>
  <c r="V69" i="4" s="1"/>
  <c r="U43" i="4"/>
  <c r="U45" i="4" s="1"/>
  <c r="U47" i="4" s="1"/>
  <c r="V54" i="4"/>
  <c r="V56" i="4" s="1"/>
  <c r="V58" i="4" s="1"/>
  <c r="P43" i="4"/>
  <c r="P45" i="4" s="1"/>
  <c r="P47" i="4" s="1"/>
  <c r="O65" i="4"/>
  <c r="O67" i="4" s="1"/>
  <c r="O69" i="4" s="1"/>
  <c r="F54" i="4"/>
  <c r="F56" i="4" s="1"/>
  <c r="F58" i="4" s="1"/>
  <c r="K65" i="4"/>
  <c r="K67" i="4" s="1"/>
  <c r="K69" i="4" s="1"/>
  <c r="X40" i="4"/>
  <c r="X64" i="4"/>
  <c r="W65" i="4"/>
  <c r="W67" i="4" s="1"/>
  <c r="W69" i="4" s="1"/>
  <c r="I43" i="4"/>
  <c r="I45" i="4" s="1"/>
  <c r="I47" i="4" s="1"/>
  <c r="C65" i="4"/>
  <c r="X62" i="4"/>
  <c r="X51" i="4"/>
  <c r="D43" i="4"/>
  <c r="D65" i="4"/>
  <c r="D67" i="4" s="1"/>
  <c r="D69" i="4" s="1"/>
  <c r="Q65" i="4"/>
  <c r="Q67" i="4" s="1"/>
  <c r="Q69" i="4" s="1"/>
  <c r="J43" i="4"/>
  <c r="J45" i="4" s="1"/>
  <c r="J47" i="4" s="1"/>
  <c r="N43" i="4"/>
  <c r="N45" i="4" s="1"/>
  <c r="N47" i="4" s="1"/>
  <c r="R43" i="4"/>
  <c r="R45" i="4" s="1"/>
  <c r="R47" i="4" s="1"/>
  <c r="I54" i="4"/>
  <c r="I56" i="4" s="1"/>
  <c r="I58" i="4" s="1"/>
  <c r="U65" i="4"/>
  <c r="U67" i="4" s="1"/>
  <c r="U69" i="4" s="1"/>
  <c r="S65" i="4"/>
  <c r="S67" i="4" s="1"/>
  <c r="S69" i="4" s="1"/>
  <c r="J54" i="4"/>
  <c r="J56" i="4" s="1"/>
  <c r="J58" i="4" s="1"/>
  <c r="U54" i="4"/>
  <c r="U56" i="4" s="1"/>
  <c r="U58" i="4" s="1"/>
  <c r="I65" i="4"/>
  <c r="I67" i="4" s="1"/>
  <c r="I69" i="4" s="1"/>
  <c r="E65" i="4"/>
  <c r="E67" i="4" s="1"/>
  <c r="E69" i="4" s="1"/>
  <c r="E55" i="4" l="1"/>
  <c r="D44" i="4"/>
  <c r="E44" i="4" s="1"/>
  <c r="F44" i="4" s="1"/>
  <c r="G44" i="4" s="1"/>
  <c r="H44" i="4" s="1"/>
  <c r="I44" i="4" s="1"/>
  <c r="J44" i="4" s="1"/>
  <c r="K44" i="4" s="1"/>
  <c r="L44" i="4" s="1"/>
  <c r="M44" i="4" s="1"/>
  <c r="N44" i="4" s="1"/>
  <c r="O44" i="4" s="1"/>
  <c r="P44" i="4" s="1"/>
  <c r="Q44" i="4" s="1"/>
  <c r="R44" i="4" s="1"/>
  <c r="S44" i="4" s="1"/>
  <c r="T44" i="4" s="1"/>
  <c r="U44" i="4" s="1"/>
  <c r="V44" i="4" s="1"/>
  <c r="W44" i="4" s="1"/>
  <c r="D45" i="4"/>
  <c r="D47" i="4" s="1"/>
  <c r="X45" i="4"/>
  <c r="C46" i="4"/>
  <c r="C48" i="4" s="1"/>
  <c r="C66" i="4"/>
  <c r="C67" i="4"/>
  <c r="C69" i="4" s="1"/>
  <c r="C57" i="4"/>
  <c r="X56" i="4"/>
  <c r="D66" i="4"/>
  <c r="E66" i="4" s="1"/>
  <c r="F66" i="4" s="1"/>
  <c r="G66" i="4" s="1"/>
  <c r="H66" i="4" s="1"/>
  <c r="I66" i="4" s="1"/>
  <c r="J66" i="4" s="1"/>
  <c r="K66" i="4" s="1"/>
  <c r="L66" i="4" s="1"/>
  <c r="M66" i="4" s="1"/>
  <c r="N66" i="4" s="1"/>
  <c r="O66" i="4" s="1"/>
  <c r="P66" i="4" s="1"/>
  <c r="Q66" i="4" s="1"/>
  <c r="R66" i="4" s="1"/>
  <c r="S66" i="4" s="1"/>
  <c r="T66" i="4" s="1"/>
  <c r="U66" i="4" s="1"/>
  <c r="V66" i="4" s="1"/>
  <c r="W66" i="4" s="1"/>
  <c r="F55" i="4"/>
  <c r="G55" i="4" s="1"/>
  <c r="H55" i="4" s="1"/>
  <c r="I55" i="4" s="1"/>
  <c r="J55" i="4" s="1"/>
  <c r="K55" i="4" s="1"/>
  <c r="L55" i="4" s="1"/>
  <c r="M55" i="4" s="1"/>
  <c r="N55" i="4" s="1"/>
  <c r="O55" i="4" s="1"/>
  <c r="P55" i="4" s="1"/>
  <c r="Q55" i="4" s="1"/>
  <c r="R55" i="4" s="1"/>
  <c r="S55" i="4" s="1"/>
  <c r="T55" i="4" s="1"/>
  <c r="U55" i="4" s="1"/>
  <c r="V55" i="4" s="1"/>
  <c r="W55" i="4" s="1"/>
  <c r="X43" i="4"/>
  <c r="X54" i="4"/>
  <c r="X65" i="4"/>
  <c r="D57" i="4" l="1"/>
  <c r="C59" i="4"/>
  <c r="Y45" i="4"/>
  <c r="D46" i="4"/>
  <c r="C68" i="4"/>
  <c r="X67" i="4"/>
  <c r="Y67" i="4" s="1"/>
  <c r="D68" i="4" l="1"/>
  <c r="C70" i="4"/>
  <c r="E46" i="4"/>
  <c r="D48" i="4"/>
  <c r="E57" i="4"/>
  <c r="D59" i="4"/>
  <c r="F57" i="4" l="1"/>
  <c r="E59" i="4"/>
  <c r="F46" i="4"/>
  <c r="E48" i="4"/>
  <c r="E68" i="4"/>
  <c r="D70" i="4"/>
  <c r="F68" i="4" l="1"/>
  <c r="E70" i="4"/>
  <c r="G46" i="4"/>
  <c r="F48" i="4"/>
  <c r="G57" i="4"/>
  <c r="F59" i="4"/>
  <c r="H57" i="4" l="1"/>
  <c r="G59" i="4"/>
  <c r="H46" i="4"/>
  <c r="G48" i="4"/>
  <c r="G68" i="4"/>
  <c r="F70" i="4"/>
  <c r="H68" i="4" l="1"/>
  <c r="G70" i="4"/>
  <c r="I46" i="4"/>
  <c r="H48" i="4"/>
  <c r="I57" i="4"/>
  <c r="H59" i="4"/>
  <c r="J57" i="4" l="1"/>
  <c r="I59" i="4"/>
  <c r="J46" i="4"/>
  <c r="I48" i="4"/>
  <c r="I68" i="4"/>
  <c r="H70" i="4"/>
  <c r="J68" i="4" l="1"/>
  <c r="I70" i="4"/>
  <c r="K46" i="4"/>
  <c r="J48" i="4"/>
  <c r="K57" i="4"/>
  <c r="J59" i="4"/>
  <c r="L57" i="4" l="1"/>
  <c r="K59" i="4"/>
  <c r="L46" i="4"/>
  <c r="K48" i="4"/>
  <c r="K68" i="4"/>
  <c r="J70" i="4"/>
  <c r="L68" i="4" l="1"/>
  <c r="K70" i="4"/>
  <c r="M46" i="4"/>
  <c r="L48" i="4"/>
  <c r="M57" i="4"/>
  <c r="L59" i="4"/>
  <c r="N57" i="4" l="1"/>
  <c r="M59" i="4"/>
  <c r="N46" i="4"/>
  <c r="M48" i="4"/>
  <c r="M68" i="4"/>
  <c r="L70" i="4"/>
  <c r="H32" i="10"/>
  <c r="C48" i="10" s="1"/>
  <c r="C56" i="10" s="1"/>
  <c r="H33" i="10"/>
  <c r="C49" i="10" s="1"/>
  <c r="C57" i="10" s="1"/>
  <c r="H34" i="10"/>
  <c r="C50" i="10" s="1"/>
  <c r="C58" i="10" s="1"/>
  <c r="H35" i="10"/>
  <c r="C51" i="10" s="1"/>
  <c r="C59" i="10" s="1"/>
  <c r="N68" i="4" l="1"/>
  <c r="M70" i="4"/>
  <c r="O46" i="4"/>
  <c r="N48" i="4"/>
  <c r="O57" i="4"/>
  <c r="N59" i="4"/>
  <c r="I51" i="10"/>
  <c r="H51" i="10"/>
  <c r="G51" i="10"/>
  <c r="F51" i="10"/>
  <c r="E51" i="10"/>
  <c r="D51" i="10"/>
  <c r="D59" i="10" s="1"/>
  <c r="G48" i="10"/>
  <c r="I48" i="10"/>
  <c r="H48" i="10"/>
  <c r="H56" i="10" s="1"/>
  <c r="E50" i="10"/>
  <c r="F50" i="10"/>
  <c r="F58" i="10" s="1"/>
  <c r="G50" i="10"/>
  <c r="H50" i="10"/>
  <c r="H58" i="10" s="1"/>
  <c r="I50" i="10"/>
  <c r="D50" i="10"/>
  <c r="D58" i="10" s="1"/>
  <c r="D49" i="10"/>
  <c r="D57" i="10" s="1"/>
  <c r="E49" i="10"/>
  <c r="E57" i="10" s="1"/>
  <c r="F49" i="10"/>
  <c r="G49" i="10"/>
  <c r="G57" i="10" s="1"/>
  <c r="H49" i="10"/>
  <c r="I49" i="10"/>
  <c r="F48" i="10"/>
  <c r="E48" i="10"/>
  <c r="D48" i="10"/>
  <c r="D56" i="10" s="1"/>
  <c r="G59" i="10" l="1"/>
  <c r="P57" i="4"/>
  <c r="O59" i="4"/>
  <c r="P46" i="4"/>
  <c r="O48" i="4"/>
  <c r="O68" i="4"/>
  <c r="N70" i="4"/>
  <c r="F59" i="10"/>
  <c r="E59" i="10"/>
  <c r="H59" i="10"/>
  <c r="I59" i="10"/>
  <c r="J59" i="10"/>
  <c r="I58" i="10"/>
  <c r="J58" i="10"/>
  <c r="G58" i="10"/>
  <c r="E58" i="10"/>
  <c r="I57" i="10"/>
  <c r="J57" i="10"/>
  <c r="H57" i="10"/>
  <c r="F57" i="10"/>
  <c r="I56" i="10"/>
  <c r="J56" i="10"/>
  <c r="E56" i="10"/>
  <c r="F56" i="10"/>
  <c r="G56" i="10"/>
  <c r="P68" i="4" l="1"/>
  <c r="O70" i="4"/>
  <c r="Q46" i="4"/>
  <c r="P48" i="4"/>
  <c r="Q57" i="4"/>
  <c r="P59" i="4"/>
  <c r="R57" i="4" l="1"/>
  <c r="Q59" i="4"/>
  <c r="R46" i="4"/>
  <c r="Q48" i="4"/>
  <c r="Q68" i="4"/>
  <c r="P70" i="4"/>
  <c r="R68" i="4" l="1"/>
  <c r="Q70" i="4"/>
  <c r="S46" i="4"/>
  <c r="R48" i="4"/>
  <c r="S57" i="4"/>
  <c r="R59" i="4"/>
  <c r="T57" i="4" l="1"/>
  <c r="S59" i="4"/>
  <c r="T46" i="4"/>
  <c r="S48" i="4"/>
  <c r="S68" i="4"/>
  <c r="R70" i="4"/>
  <c r="T68" i="4" l="1"/>
  <c r="S70" i="4"/>
  <c r="U46" i="4"/>
  <c r="T48" i="4"/>
  <c r="U57" i="4"/>
  <c r="T59" i="4"/>
  <c r="V57" i="4" l="1"/>
  <c r="U59" i="4"/>
  <c r="V46" i="4"/>
  <c r="U48" i="4"/>
  <c r="U68" i="4"/>
  <c r="T70" i="4"/>
  <c r="V68" i="4" l="1"/>
  <c r="U70" i="4"/>
  <c r="W46" i="4"/>
  <c r="W48" i="4" s="1"/>
  <c r="V48" i="4"/>
  <c r="W57" i="4"/>
  <c r="W59" i="4" s="1"/>
  <c r="V59" i="4"/>
  <c r="W68" i="4" l="1"/>
  <c r="W70" i="4" s="1"/>
  <c r="V70" i="4"/>
</calcChain>
</file>

<file path=xl/sharedStrings.xml><?xml version="1.0" encoding="utf-8"?>
<sst xmlns="http://schemas.openxmlformats.org/spreadsheetml/2006/main" count="1156" uniqueCount="444">
  <si>
    <t>Decarbonization Analysis -- 2023 Update (10-04-2023)</t>
  </si>
  <si>
    <t>Overview</t>
  </si>
  <si>
    <t xml:space="preserve">The 2023 update leveraged four new scenarios (Full ASHP, Full CCHP, Hybrid ASHP, and Hybrid ASHP / CCHP) as a result of the decarbonization settlement.  The analysis performed leveraged what was done in 2021 for consistency and at the planner-level estimate (+/- 50%).  Specifically, the analysis leveraged a $ / MW average for both the short-term and long-term impacts, with a 15% increase to account for inflation in the two years based on more recent costs. </t>
  </si>
  <si>
    <t>Previous Work from 2021</t>
  </si>
  <si>
    <t>The following table articulates the high-level results from the 2021 system planning cost analysis:</t>
  </si>
  <si>
    <t>Scenario</t>
  </si>
  <si>
    <t>2025 MW</t>
  </si>
  <si>
    <t>2025 $M</t>
  </si>
  <si>
    <t>2040 MW</t>
  </si>
  <si>
    <t>2040 $M</t>
  </si>
  <si>
    <t>Carbon Out</t>
  </si>
  <si>
    <t>Carbon Out + Add'l Electrification</t>
  </si>
  <si>
    <t>High Electrification</t>
  </si>
  <si>
    <t>Average ($/MW)</t>
  </si>
  <si>
    <t>2023 Average (2021 + 15%) ($/MW)</t>
  </si>
  <si>
    <t>New Scenarios for 2023 (high-level cost estimation)</t>
  </si>
  <si>
    <t>Description</t>
  </si>
  <si>
    <t>2030 MW</t>
  </si>
  <si>
    <t>2030 $M</t>
  </si>
  <si>
    <t>2045 MW</t>
  </si>
  <si>
    <t>2045 $M</t>
  </si>
  <si>
    <t>Scenario 1</t>
  </si>
  <si>
    <t>Full ASHP</t>
  </si>
  <si>
    <t>Scenario 2</t>
  </si>
  <si>
    <t>Full CCHP</t>
  </si>
  <si>
    <t>Scenario 3</t>
  </si>
  <si>
    <t>Hybrid ASHP</t>
  </si>
  <si>
    <t>Scenario 4</t>
  </si>
  <si>
    <t>Hybrid ASHP CCHP</t>
  </si>
  <si>
    <t>New Scenarios for 2023 (detailed estimation)</t>
  </si>
  <si>
    <t>$/MW</t>
  </si>
  <si>
    <t>[Loads pulled from "Electric - Peaks" worksheet provided by Nathan Critchfield on 9/8]</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</si>
  <si>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</si>
  <si>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</si>
  <si>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</si>
  <si>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</si>
  <si>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</si>
  <si>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</si>
  <si>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</si>
  <si>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</si>
  <si>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</si>
  <si>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</si>
  <si>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</si>
  <si>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</si>
  <si>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</si>
  <si>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</si>
  <si>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</si>
  <si>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</si>
  <si>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</si>
  <si>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</si>
  <si>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</si>
  <si>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</si>
  <si>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</si>
  <si>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</si>
  <si>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</si>
  <si>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</si>
  <si>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</si>
  <si>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</si>
  <si>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</si>
  <si>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Total Cost Per Year (Cumulative)</t>
  </si>
  <si>
    <t>Total Cost Per Year (Incremental)</t>
  </si>
  <si>
    <t>F22 Final Electric Load Forecast - IRP Scenario</t>
  </si>
  <si>
    <t>Peaks (MW)</t>
  </si>
  <si>
    <t>Different values of conservation are provided to illustrate the impact of conservation.  Click (+) to expand</t>
  </si>
  <si>
    <t>Losses were assumed at 7.8%</t>
  </si>
  <si>
    <t>Scenario 1 - Full Electrification w ASHP</t>
  </si>
  <si>
    <t>Scenario 2 - Full Electrification w CCHP</t>
  </si>
  <si>
    <t>Scenario 3 - Hybrid Heat Pump</t>
  </si>
  <si>
    <t>Scenario 4 - HHP for existing customeres, CCHP for new customers</t>
  </si>
  <si>
    <t>2023 EPR Reference</t>
  </si>
  <si>
    <t>NET Impact</t>
  </si>
  <si>
    <t>IRP Scenario - No New DSR after 2023</t>
  </si>
  <si>
    <t>Before DSR</t>
  </si>
  <si>
    <t>After DSR</t>
  </si>
  <si>
    <t>Year</t>
  </si>
  <si>
    <t>Month</t>
  </si>
  <si>
    <t>Date</t>
  </si>
  <si>
    <t>Normal Peak (27/28 &amp; 94/95/96) Degrees)</t>
  </si>
  <si>
    <t>Change in Peak Load</t>
  </si>
  <si>
    <t>DSR</t>
  </si>
  <si>
    <t>Demand Response</t>
  </si>
  <si>
    <t>Total Load</t>
  </si>
  <si>
    <t>Peak Delta</t>
  </si>
  <si>
    <t>DECEMBER</t>
  </si>
  <si>
    <t>*DSR included is codes and standards and the applicable conservation bundles.</t>
  </si>
  <si>
    <t>2020 Numbers</t>
  </si>
  <si>
    <t>Unit</t>
  </si>
  <si>
    <t>$/unit</t>
  </si>
  <si>
    <t>2020-2025</t>
  </si>
  <si>
    <t>Average</t>
  </si>
  <si>
    <t>Total Load (MW)</t>
  </si>
  <si>
    <t>115 kV Transmission (incl. substation transmission)</t>
  </si>
  <si>
    <t>Miles</t>
  </si>
  <si>
    <t>$4M</t>
  </si>
  <si>
    <t>230 kV Transmission</t>
  </si>
  <si>
    <t>$6M</t>
  </si>
  <si>
    <t>Bulk 230/115 kV Transformers</t>
  </si>
  <si>
    <t>Transformers</t>
  </si>
  <si>
    <t>$8M</t>
  </si>
  <si>
    <t>Transmission Switching Stations</t>
  </si>
  <si>
    <t>Switching Stations</t>
  </si>
  <si>
    <t>$15M</t>
  </si>
  <si>
    <t>Distribution Substation Transformers</t>
  </si>
  <si>
    <t>$10.5M / transformer</t>
  </si>
  <si>
    <t>Distribution Feeder</t>
  </si>
  <si>
    <t>$2M / mile</t>
  </si>
  <si>
    <t>Distribution Service Transformers</t>
  </si>
  <si>
    <t>$15,700 / transformer</t>
  </si>
  <si>
    <t>2026-2040</t>
  </si>
  <si>
    <t>2023 Update</t>
  </si>
  <si>
    <t>2024-2030 (units / $M)</t>
  </si>
  <si>
    <t>S1: ASHP</t>
  </si>
  <si>
    <t>S2: CCHP</t>
  </si>
  <si>
    <t>S3: HHP</t>
  </si>
  <si>
    <t>S4: HHP+CCHP</t>
  </si>
  <si>
    <t>$4.6M</t>
  </si>
  <si>
    <t>$6.9M</t>
  </si>
  <si>
    <t>$9.2M</t>
  </si>
  <si>
    <t>$17.2M</t>
  </si>
  <si>
    <t>$12.1M / transformer</t>
  </si>
  <si>
    <t>$2.3M / mile</t>
  </si>
  <si>
    <t>$18,100 / transformer</t>
  </si>
  <si>
    <t>Sub-Total ($M)</t>
  </si>
  <si>
    <t>Planning Estimate (+50%)</t>
  </si>
  <si>
    <t>2024-2045 (units / $M)</t>
  </si>
  <si>
    <t>Load Forecast &amp; Incremental Load (MW) - 2025</t>
  </si>
  <si>
    <t>Winter</t>
  </si>
  <si>
    <t>Summer</t>
  </si>
  <si>
    <t>PSE F20 Load Forecast (Native Load)</t>
  </si>
  <si>
    <t>Transportation Load</t>
  </si>
  <si>
    <t>Load Forecast &amp; Incremental Load (MW) - 2040</t>
  </si>
  <si>
    <t>F20 Load Forecast (Native Load)</t>
  </si>
  <si>
    <t>F20 Load Forecast numbers represent PSE native load to be served.</t>
  </si>
  <si>
    <t>Transportation Load represents BPA/Network loads, 449 customers and Microsoft load. This value represents the contractual obligation to serve these customers.</t>
  </si>
  <si>
    <t>Loads for the different scenarios are added on top of the load forecast value to get total load.</t>
  </si>
  <si>
    <t>Incremental loads for SCL, SnoPUD, and Tacoma Power were also added to the cases to gauge regional electrification impacts on PSE's system.</t>
  </si>
  <si>
    <t>Electrification costs are provded in 2020 dollars (i.e. the standard 3% per year escalation has not been applied to escalate costs to future dollars)</t>
  </si>
  <si>
    <t>Costs are incremental, meaning they do not account for costs associated with normal load growth on the system, but would be added on top of the existing portfolio</t>
  </si>
  <si>
    <t>Costs in the 2025 column include total incremental costs from 2020 to 2025</t>
  </si>
  <si>
    <t>Costs in the 2040 column include the total incremental costs from 2026 to 2040</t>
  </si>
  <si>
    <t>Costs in the Total column include 2025 costs plus 2040 costs</t>
  </si>
  <si>
    <t>All costs are planning level estimates and include some contingency</t>
  </si>
  <si>
    <t>Total</t>
  </si>
  <si>
    <t>Base Cost</t>
  </si>
  <si>
    <t>Contingency (%)</t>
  </si>
  <si>
    <t>Planning Estimate</t>
  </si>
  <si>
    <t>Transmission &amp; Switching Stations</t>
  </si>
  <si>
    <t>--</t>
  </si>
  <si>
    <t>$265M</t>
  </si>
  <si>
    <t>Distribution Substation</t>
  </si>
  <si>
    <t>$14M</t>
  </si>
  <si>
    <t>$302M</t>
  </si>
  <si>
    <t>$316M</t>
  </si>
  <si>
    <t>$210M</t>
  </si>
  <si>
    <t>Distribution Substation -  T-Lines</t>
  </si>
  <si>
    <t>$136M</t>
  </si>
  <si>
    <t>Distribution Feeders</t>
  </si>
  <si>
    <t>$12M</t>
  </si>
  <si>
    <t>$96M</t>
  </si>
  <si>
    <t>$108M</t>
  </si>
  <si>
    <t>$86.4M</t>
  </si>
  <si>
    <t>$26M</t>
  </si>
  <si>
    <t>$799M</t>
  </si>
  <si>
    <t>$825M</t>
  </si>
  <si>
    <t>$311M</t>
  </si>
  <si>
    <t>$35M</t>
  </si>
  <si>
    <t>$611M</t>
  </si>
  <si>
    <t>$646M</t>
  </si>
  <si>
    <t>$430.1M</t>
  </si>
  <si>
    <t>$24M</t>
  </si>
  <si>
    <t>$264M</t>
  </si>
  <si>
    <t>$288M</t>
  </si>
  <si>
    <t>$230M</t>
  </si>
  <si>
    <t>Distribution - Service Transformers</t>
  </si>
  <si>
    <t>$118M</t>
  </si>
  <si>
    <t>$1,084M</t>
  </si>
  <si>
    <t>$1,202M</t>
  </si>
  <si>
    <t>$961.6M</t>
  </si>
  <si>
    <t>$177M</t>
  </si>
  <si>
    <t>$2,406M</t>
  </si>
  <si>
    <t>$2,583M</t>
  </si>
  <si>
    <t>$496M</t>
  </si>
  <si>
    <t>$134M</t>
  </si>
  <si>
    <t>$1,564M</t>
  </si>
  <si>
    <t>$1,698M</t>
  </si>
  <si>
    <t>$1131.35M</t>
  </si>
  <si>
    <t>$2262.7M</t>
  </si>
  <si>
    <t>$559M</t>
  </si>
  <si>
    <t>$66M</t>
  </si>
  <si>
    <t>$1,212M</t>
  </si>
  <si>
    <t>$1,278M</t>
  </si>
  <si>
    <t>$1,022M</t>
  </si>
  <si>
    <t>$180M</t>
  </si>
  <si>
    <t>$1,300M</t>
  </si>
  <si>
    <t>$1,480M</t>
  </si>
  <si>
    <t>$1,184M</t>
  </si>
  <si>
    <t>$380M</t>
  </si>
  <si>
    <t>$5,131M</t>
  </si>
  <si>
    <t>$5,511M</t>
  </si>
  <si>
    <t>1. Transmission Costs include costs associated with capacity constraints under NERC credible contingency conditions.</t>
  </si>
  <si>
    <t>2. Substation costs include the costs associated with the addition of distribution transformer capacity, including limited transmission modifications, substation/transformer additions, and the associated feeder getaways.</t>
  </si>
  <si>
    <t>3. Substation transmission indicates the additional transmission work that would be needed to accommodate substations beyond the limited modifications included in the substation costs.</t>
  </si>
  <si>
    <t>4. Distribution costs include modifications required to the existing distribution feeders to accommodate additional load. Costs associated with additional service transformers or service upgrades have been calculated separately.</t>
  </si>
  <si>
    <t>5. 2040 costs are above and beyond what would be needed in 2025. The 2025 and 2040 costs need to be added to get the total cost of upgrades through the 20 year time period.</t>
  </si>
  <si>
    <t>6. Costs for transmission service from BPA were not included in these totals, but transmission service would need to be obtained.</t>
  </si>
  <si>
    <t>7. Transmission costs include a 50% planning level contingency, and includes typical ROW, permitting, real estate and legal costs.</t>
  </si>
  <si>
    <t>Load Forecast - Growth By Year</t>
  </si>
  <si>
    <t>Winter - Residential</t>
  </si>
  <si>
    <t>Winter - Commercial</t>
  </si>
  <si>
    <t>Winter - Total</t>
  </si>
  <si>
    <t>Winter % Total - Overall</t>
  </si>
  <si>
    <t>Winer % Total - 2025 and 2040</t>
  </si>
  <si>
    <t>Summer % Total</t>
  </si>
  <si>
    <t>Winter % Total</t>
  </si>
  <si>
    <t>Costs By Year</t>
  </si>
  <si>
    <t>Distribution Substations</t>
  </si>
  <si>
    <t>Distribution Substation T-Lines</t>
  </si>
  <si>
    <t>Running Total</t>
  </si>
  <si>
    <t>Delta</t>
  </si>
  <si>
    <t>Inflation (3%)</t>
  </si>
  <si>
    <t>Running total with Inflation</t>
  </si>
  <si>
    <t>Total - Delta from Jeff</t>
  </si>
  <si>
    <t>Running Total - Delta from Jeff</t>
  </si>
  <si>
    <t>Distribution Feeders and Service Transformers</t>
  </si>
  <si>
    <t>Total per Year with Inflation (3%)</t>
  </si>
  <si>
    <t>Substation and Distribution costs were spread out over the 20-year period proportional to the incremental load growth. The period form 2020-2025 and 2026-2040 were accounted for separately to align with the costs.</t>
  </si>
  <si>
    <t>The transmission system was deemed sufficient to accommodate the additional load growth until 2030. From 2030 to 2040, transmission costs (including those associated with substations) were spread equally across the 2030-2040 timeframe.</t>
  </si>
  <si>
    <t>Transmission and distribution substations were allocated to transmission. Distribution feeders and service transformers were allocated to distribution.</t>
  </si>
  <si>
    <t>Incremental Decarbonization Costs Transmission/Distribution with inflation per year</t>
  </si>
  <si>
    <t>Transmission</t>
  </si>
  <si>
    <t>Distribution</t>
  </si>
  <si>
    <t>20-Year Portfolio with Incremental Decarbonization Costs</t>
  </si>
  <si>
    <t>20-Year Baseline Portfolio</t>
  </si>
  <si>
    <t>Capex by Category</t>
  </si>
  <si>
    <t>Generation</t>
  </si>
  <si>
    <t>Natural Gas</t>
  </si>
  <si>
    <t>PLNG</t>
  </si>
  <si>
    <t>Common</t>
  </si>
  <si>
    <t>Total CapEx</t>
  </si>
  <si>
    <t>Total Depreciation</t>
  </si>
  <si>
    <t>CapEx/Depreciation Ratio</t>
  </si>
  <si>
    <t>20-Year Incremental Costs</t>
  </si>
  <si>
    <t>Assumptions:</t>
  </si>
  <si>
    <t>Transmission improvements and transmission needed to support additional distribution substations have been added to the transmission costs.</t>
  </si>
  <si>
    <t>Disribution substations, feeder improvements and service transformers have been added to the distribution costs.</t>
  </si>
  <si>
    <t>This is based on feedback from Shuang Wu who said "From my understanding of UI, the capital projects/WBS are not categorized by asset class such as feeder, transformer etc. If it’s a distribution project,  there is no split and it’s 100% distribution. "</t>
  </si>
  <si>
    <t>Distribution substations are assumed to be directly attributed to customer load growth and not to transmission capacity constraints.</t>
  </si>
  <si>
    <t>Transmission Assumptions:</t>
  </si>
  <si>
    <t>Assumptions</t>
  </si>
  <si>
    <t>Study addresses thermal overloads found during analysis of NERC TPL-001-4 P1/P2+/P6 contingencies</t>
  </si>
  <si>
    <t>summer &amp; winter peak base case used only</t>
  </si>
  <si>
    <t>no BPA / SCL  / neighboring contingencies</t>
  </si>
  <si>
    <t>steady state powerflow analysis for PSE P1/P2+/P6 contingencies</t>
  </si>
  <si>
    <t>SCL/SnoPUD/Tacoma incremental loads included</t>
  </si>
  <si>
    <t>no transportation load growth</t>
  </si>
  <si>
    <t>no neighbor load growth after 2030 (except for incremental electrification growth)</t>
  </si>
  <si>
    <t xml:space="preserve">Load forecast baseline 2030 and 2039 values from F20 load forecast, spread across system </t>
  </si>
  <si>
    <t>High Electrification - Heavy Winter case for 2040 (Year 20)</t>
  </si>
  <si>
    <t>Cost incremental assumptions are in 2019 dollars and would use 3%/year escalation rate to reflect future year costs:</t>
  </si>
  <si>
    <t>Incremental Upgrade Cost of upgrades in 2040 rate</t>
  </si>
  <si>
    <t>2025 upgrades are assumed to be covered by ongoing initiation projects; baseline costs are anticipated due to normal load growth</t>
  </si>
  <si>
    <t>Transmission Results:</t>
  </si>
  <si>
    <t>Baseline Upgrades (due to normal load growth)</t>
  </si>
  <si>
    <t>Electrification Incremental (excluding Baseline)</t>
  </si>
  <si>
    <t xml:space="preserve">Year 5 </t>
  </si>
  <si>
    <t>Year 20</t>
  </si>
  <si>
    <t>S1 (Baseline)</t>
  </si>
  <si>
    <t>S4 (Carbon + Electrification)</t>
  </si>
  <si>
    <t>S2 (Carbon)</t>
  </si>
  <si>
    <t>S3 (High Electrification)</t>
  </si>
  <si>
    <t>Notes</t>
  </si>
  <si>
    <t>Season</t>
  </si>
  <si>
    <t>County</t>
  </si>
  <si>
    <t>Line 115kV (miles)</t>
  </si>
  <si>
    <t>Line 230kV (miles)</t>
  </si>
  <si>
    <t>Bulk XFMR (230/115)</t>
  </si>
  <si>
    <t>Station</t>
  </si>
  <si>
    <t>Summer (Base)</t>
  </si>
  <si>
    <t>Both</t>
  </si>
  <si>
    <t>North King</t>
  </si>
  <si>
    <t>Yes</t>
  </si>
  <si>
    <t>no</t>
  </si>
  <si>
    <t>No</t>
  </si>
  <si>
    <t>South King</t>
  </si>
  <si>
    <t>Pierce</t>
  </si>
  <si>
    <t>Both (Elec)</t>
  </si>
  <si>
    <t>Winter (Elec), Summer (Base)</t>
  </si>
  <si>
    <t>Thurston</t>
  </si>
  <si>
    <t>Year 5</t>
  </si>
  <si>
    <t>Line 115kV (per mile)</t>
  </si>
  <si>
    <t>Line 230kV (per mile)</t>
  </si>
  <si>
    <t>Bulk XFMR</t>
  </si>
  <si>
    <t>Switching Station</t>
  </si>
  <si>
    <t>Total (in Millions)</t>
  </si>
  <si>
    <t>Summer/Winter</t>
  </si>
  <si>
    <t>2025 Unit Cost (in Millions)</t>
  </si>
  <si>
    <t>2040 Unit Cost (in Millions)</t>
  </si>
  <si>
    <t>S4 (Car + Elec)</t>
  </si>
  <si>
    <t>S3 (High Elec)</t>
  </si>
  <si>
    <t>2020 Planning</t>
  </si>
  <si>
    <t>2020 Base</t>
  </si>
  <si>
    <t>2020 Contingency</t>
  </si>
  <si>
    <t>Year 20 Transmission Line Count</t>
  </si>
  <si>
    <t>115 kV</t>
  </si>
  <si>
    <t>230 kV</t>
  </si>
  <si>
    <t>Substation transmission:</t>
  </si>
  <si>
    <t>Substation Transmission Assumptions:</t>
  </si>
  <si>
    <t>115kV and 55kV lines only (i.e. no new distribution substations connected at 230 kV)</t>
  </si>
  <si>
    <t>Region</t>
  </si>
  <si>
    <t>Line</t>
  </si>
  <si>
    <t>Baseline</t>
  </si>
  <si>
    <t>Incremental</t>
  </si>
  <si>
    <t>New Line</t>
  </si>
  <si>
    <t>No Radial Lines - All substations will have two sources</t>
  </si>
  <si>
    <t>N King</t>
  </si>
  <si>
    <t>Lake Tradition - Sahalee</t>
  </si>
  <si>
    <t>No Gen Lead Lines</t>
  </si>
  <si>
    <t>Sammamish - Ardmore</t>
  </si>
  <si>
    <t>Maximum: Six XFMRs per line (6x25MVA=150MVA) per the Transmission Planning Guidelines</t>
  </si>
  <si>
    <t>Sammamish - Lochleven</t>
  </si>
  <si>
    <t>No Lines connecting to a single industrial customer</t>
  </si>
  <si>
    <t>Sammamish - Moorlands #1</t>
  </si>
  <si>
    <t>The mileage for new lines is the average for the region</t>
  </si>
  <si>
    <t>Sammamish - N Bellevue</t>
  </si>
  <si>
    <t>Costs were assumed to be $6M/mile for 115 kV assuming that these are all greenfield lines and based on costs for SAM-JUA and LHL-PHA projects</t>
  </si>
  <si>
    <t>North King Total:</t>
  </si>
  <si>
    <t>S King</t>
  </si>
  <si>
    <t>Christopher - Starwood</t>
  </si>
  <si>
    <t>Average Line Length</t>
  </si>
  <si>
    <t>South King Total:</t>
  </si>
  <si>
    <t>Whatcom</t>
  </si>
  <si>
    <t>Skagit</t>
  </si>
  <si>
    <t>Sedro Woolley - Fredonia</t>
  </si>
  <si>
    <t>Sedro Woolley - March Point #3</t>
  </si>
  <si>
    <t>Skagit Total:</t>
  </si>
  <si>
    <t>Terrell - Bellingham #1</t>
  </si>
  <si>
    <t>Kittitas</t>
  </si>
  <si>
    <t>Whatcom Total:</t>
  </si>
  <si>
    <t>Total:</t>
  </si>
  <si>
    <t>Kitsap</t>
  </si>
  <si>
    <t>System</t>
  </si>
  <si>
    <t>New Lines</t>
  </si>
  <si>
    <t>New Switching Stations</t>
  </si>
  <si>
    <t>2020 Dollars</t>
  </si>
  <si>
    <t>Distribution Transformer/Substation Assumptions:</t>
  </si>
  <si>
    <t>Method:</t>
  </si>
  <si>
    <r>
      <t>1.</t>
    </r>
    <r>
      <rPr>
        <sz val="7"/>
        <color theme="1"/>
        <rFont val="Times New Roman"/>
        <family val="1"/>
      </rPr>
      <t xml:space="preserve">       </t>
    </r>
    <r>
      <rPr>
        <sz val="11"/>
        <color theme="1"/>
        <rFont val="Calibri"/>
        <family val="2"/>
        <scheme val="minor"/>
      </rPr>
      <t>Model existing PSE distribution system, with SCUBA tool, and apply 2020 load forecast to establish baseline electrical demand and distribution transformer system needs for 2020, 2025, and 2040.</t>
    </r>
  </si>
  <si>
    <r>
      <t>2.</t>
    </r>
    <r>
      <rPr>
        <sz val="7"/>
        <color theme="1"/>
        <rFont val="Times New Roman"/>
        <family val="1"/>
      </rPr>
      <t xml:space="preserve">       </t>
    </r>
    <r>
      <rPr>
        <sz val="11"/>
        <color theme="1"/>
        <rFont val="Calibri"/>
        <family val="2"/>
        <scheme val="minor"/>
      </rPr>
      <t>Determine existing individual substation bank loading % compared to a total county electrical demand</t>
    </r>
  </si>
  <si>
    <r>
      <t>3.</t>
    </r>
    <r>
      <rPr>
        <sz val="7"/>
        <color theme="1"/>
        <rFont val="Times New Roman"/>
        <family val="1"/>
      </rPr>
      <t xml:space="preserve">       </t>
    </r>
    <r>
      <rPr>
        <sz val="11"/>
        <color theme="1"/>
        <rFont val="Calibri"/>
        <family val="2"/>
        <scheme val="minor"/>
      </rPr>
      <t>Add appropriate % demand associated with potential gas to electric conversion (de-carbonization) to the baseline load to determine overloaded substation transformers 2020, 2025, and 2040.</t>
    </r>
  </si>
  <si>
    <r>
      <t>4.</t>
    </r>
    <r>
      <rPr>
        <sz val="7"/>
        <color theme="1"/>
        <rFont val="Times New Roman"/>
        <family val="1"/>
      </rPr>
      <t xml:space="preserve">       </t>
    </r>
    <r>
      <rPr>
        <sz val="11"/>
        <color theme="1"/>
        <rFont val="Calibri"/>
        <family val="2"/>
        <scheme val="minor"/>
      </rPr>
      <t>Determine delta between overloaded distribution transformer banks due to natural load growth vs. de-carbonization.</t>
    </r>
  </si>
  <si>
    <r>
      <t>5.</t>
    </r>
    <r>
      <rPr>
        <sz val="7"/>
        <color theme="1"/>
        <rFont val="Times New Roman"/>
        <family val="1"/>
      </rPr>
      <t xml:space="preserve">       </t>
    </r>
    <r>
      <rPr>
        <sz val="11"/>
        <color theme="1"/>
        <rFont val="Calibri"/>
        <family val="2"/>
        <scheme val="minor"/>
      </rPr>
      <t>Adjust final vales with 100% additional planning cost to account for land purchase, permitting, and ROW work.</t>
    </r>
  </si>
  <si>
    <r>
      <t>1.</t>
    </r>
    <r>
      <rPr>
        <sz val="7"/>
        <color theme="1"/>
        <rFont val="Times New Roman"/>
        <family val="1"/>
      </rPr>
      <t xml:space="preserve">       </t>
    </r>
    <r>
      <rPr>
        <sz val="11"/>
        <color theme="1"/>
        <rFont val="Calibri"/>
        <family val="2"/>
        <scheme val="minor"/>
      </rPr>
      <t>If the existing single banked substation is overloaded, a second bank is added to the existing substation.</t>
    </r>
  </si>
  <si>
    <r>
      <t>2.</t>
    </r>
    <r>
      <rPr>
        <sz val="7"/>
        <color theme="1"/>
        <rFont val="Times New Roman"/>
        <family val="1"/>
      </rPr>
      <t xml:space="preserve">       </t>
    </r>
    <r>
      <rPr>
        <sz val="11"/>
        <color theme="1"/>
        <rFont val="Calibri"/>
        <family val="2"/>
        <scheme val="minor"/>
      </rPr>
      <t>If the existing multiple-banked distribution substation is overloaded, an additional substation is added to the overall cost.</t>
    </r>
  </si>
  <si>
    <r>
      <t>3.</t>
    </r>
    <r>
      <rPr>
        <sz val="7"/>
        <color theme="1"/>
        <rFont val="Times New Roman"/>
        <family val="1"/>
      </rPr>
      <t xml:space="preserve">       </t>
    </r>
    <r>
      <rPr>
        <sz val="11"/>
        <color theme="1"/>
        <rFont val="Calibri"/>
        <family val="2"/>
        <scheme val="minor"/>
      </rPr>
      <t>Addition of (1) distribution substation bank to existing substation assumed $9.35M</t>
    </r>
  </si>
  <si>
    <r>
      <t>a.</t>
    </r>
    <r>
      <rPr>
        <sz val="7"/>
        <color theme="1"/>
        <rFont val="Times New Roman"/>
        <family val="1"/>
      </rPr>
      <t xml:space="preserve">       </t>
    </r>
    <r>
      <rPr>
        <sz val="11"/>
        <color theme="1"/>
        <rFont val="Calibri"/>
        <family val="2"/>
        <scheme val="minor"/>
      </rPr>
      <t>Materials:</t>
    </r>
  </si>
  <si>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Distribution transformer $0.75M</t>
    </r>
  </si>
  <si>
    <r>
      <t xml:space="preserve">                                                             </t>
    </r>
    <r>
      <rPr>
        <sz val="11"/>
        <color theme="1"/>
        <rFont val="Calibri"/>
        <family val="2"/>
        <scheme val="minor"/>
      </rPr>
      <t>ii.</t>
    </r>
    <r>
      <rPr>
        <sz val="7"/>
        <color theme="1"/>
        <rFont val="Times New Roman"/>
        <family val="1"/>
      </rPr>
      <t xml:space="preserve">      </t>
    </r>
    <r>
      <rPr>
        <sz val="11"/>
        <color theme="1"/>
        <rFont val="Calibri"/>
        <family val="2"/>
        <scheme val="minor"/>
      </rPr>
      <t>Metalclad gear $0.75M</t>
    </r>
  </si>
  <si>
    <r>
      <t xml:space="preserve">                                                           </t>
    </r>
    <r>
      <rPr>
        <sz val="11"/>
        <color theme="1"/>
        <rFont val="Calibri"/>
        <family val="2"/>
        <scheme val="minor"/>
      </rPr>
      <t>iii.</t>
    </r>
    <r>
      <rPr>
        <sz val="7"/>
        <color theme="1"/>
        <rFont val="Times New Roman"/>
        <family val="1"/>
      </rPr>
      <t xml:space="preserve">      </t>
    </r>
    <r>
      <rPr>
        <sz val="11"/>
        <color theme="1"/>
        <rFont val="Calibri"/>
        <family val="2"/>
        <scheme val="minor"/>
      </rPr>
      <t>Control house $0.5M</t>
    </r>
  </si>
  <si>
    <r>
      <t xml:space="preserve">                                                           </t>
    </r>
    <r>
      <rPr>
        <sz val="11"/>
        <color theme="1"/>
        <rFont val="Calibri"/>
        <family val="2"/>
        <scheme val="minor"/>
      </rPr>
      <t>iv.</t>
    </r>
    <r>
      <rPr>
        <sz val="7"/>
        <color theme="1"/>
        <rFont val="Times New Roman"/>
        <family val="1"/>
      </rPr>
      <t xml:space="preserve">      </t>
    </r>
    <r>
      <rPr>
        <sz val="11"/>
        <color theme="1"/>
        <rFont val="Calibri"/>
        <family val="2"/>
        <scheme val="minor"/>
      </rPr>
      <t>Getaway feeders $1M</t>
    </r>
  </si>
  <si>
    <r>
      <t xml:space="preserve">                                                             </t>
    </r>
    <r>
      <rPr>
        <sz val="11"/>
        <color theme="1"/>
        <rFont val="Calibri"/>
        <family val="2"/>
        <scheme val="minor"/>
      </rPr>
      <t>v.</t>
    </r>
    <r>
      <rPr>
        <sz val="7"/>
        <color theme="1"/>
        <rFont val="Times New Roman"/>
        <family val="1"/>
      </rPr>
      <t xml:space="preserve">      </t>
    </r>
    <r>
      <rPr>
        <sz val="11"/>
        <color theme="1"/>
        <rFont val="Calibri"/>
        <family val="2"/>
        <scheme val="minor"/>
      </rPr>
      <t>Transmission bus $1M:</t>
    </r>
  </si>
  <si>
    <r>
      <t>1.</t>
    </r>
    <r>
      <rPr>
        <sz val="7"/>
        <color theme="1"/>
        <rFont val="Times New Roman"/>
        <family val="1"/>
      </rPr>
      <t xml:space="preserve">       </t>
    </r>
    <r>
      <rPr>
        <sz val="11"/>
        <color theme="1"/>
        <rFont val="Calibri"/>
        <family val="2"/>
        <scheme val="minor"/>
      </rPr>
      <t>Dead ends</t>
    </r>
  </si>
  <si>
    <r>
      <t>2.</t>
    </r>
    <r>
      <rPr>
        <sz val="7"/>
        <color theme="1"/>
        <rFont val="Times New Roman"/>
        <family val="1"/>
      </rPr>
      <t xml:space="preserve">       </t>
    </r>
    <r>
      <rPr>
        <sz val="11"/>
        <color theme="1"/>
        <rFont val="Calibri"/>
        <family val="2"/>
        <scheme val="minor"/>
      </rPr>
      <t>Switches</t>
    </r>
  </si>
  <si>
    <r>
      <t>3.</t>
    </r>
    <r>
      <rPr>
        <sz val="7"/>
        <color theme="1"/>
        <rFont val="Times New Roman"/>
        <family val="1"/>
      </rPr>
      <t xml:space="preserve">       </t>
    </r>
    <r>
      <rPr>
        <sz val="11"/>
        <color theme="1"/>
        <rFont val="Calibri"/>
        <family val="2"/>
        <scheme val="minor"/>
      </rPr>
      <t>115kV bus</t>
    </r>
  </si>
  <si>
    <r>
      <t xml:space="preserve">                                                           </t>
    </r>
    <r>
      <rPr>
        <sz val="11"/>
        <color theme="1"/>
        <rFont val="Calibri"/>
        <family val="2"/>
        <scheme val="minor"/>
      </rPr>
      <t>vi.</t>
    </r>
    <r>
      <rPr>
        <sz val="7"/>
        <color theme="1"/>
        <rFont val="Times New Roman"/>
        <family val="1"/>
      </rPr>
      <t xml:space="preserve">      </t>
    </r>
    <r>
      <rPr>
        <sz val="11"/>
        <color theme="1"/>
        <rFont val="Calibri"/>
        <family val="2"/>
        <scheme val="minor"/>
      </rPr>
      <t>Transmission loop $1.5M:</t>
    </r>
  </si>
  <si>
    <r>
      <t>1.</t>
    </r>
    <r>
      <rPr>
        <sz val="7"/>
        <color theme="1"/>
        <rFont val="Times New Roman"/>
        <family val="1"/>
      </rPr>
      <t xml:space="preserve">       </t>
    </r>
    <r>
      <rPr>
        <sz val="11"/>
        <color theme="1"/>
        <rFont val="Calibri"/>
        <family val="2"/>
        <scheme val="minor"/>
      </rPr>
      <t>(1) mile of 115kV transmission</t>
    </r>
  </si>
  <si>
    <r>
      <t>b.</t>
    </r>
    <r>
      <rPr>
        <sz val="7"/>
        <color theme="1"/>
        <rFont val="Times New Roman"/>
        <family val="1"/>
      </rPr>
      <t xml:space="preserve">       </t>
    </r>
    <r>
      <rPr>
        <sz val="11"/>
        <color theme="1"/>
        <rFont val="Calibri"/>
        <family val="2"/>
        <scheme val="minor"/>
      </rPr>
      <t>Labor (assumed 70% of the material cost at $3.85M)</t>
    </r>
  </si>
  <si>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Construction</t>
    </r>
  </si>
  <si>
    <r>
      <t xml:space="preserve">                                                             </t>
    </r>
    <r>
      <rPr>
        <sz val="11"/>
        <color theme="1"/>
        <rFont val="Calibri"/>
        <family val="2"/>
        <scheme val="minor"/>
      </rPr>
      <t>ii.</t>
    </r>
    <r>
      <rPr>
        <sz val="7"/>
        <color theme="1"/>
        <rFont val="Times New Roman"/>
        <family val="1"/>
      </rPr>
      <t xml:space="preserve">      </t>
    </r>
    <r>
      <rPr>
        <sz val="11"/>
        <color theme="1"/>
        <rFont val="Calibri"/>
        <family val="2"/>
        <scheme val="minor"/>
      </rPr>
      <t>Engineering</t>
    </r>
  </si>
  <si>
    <r>
      <t xml:space="preserve">                                                           </t>
    </r>
    <r>
      <rPr>
        <sz val="11"/>
        <color theme="1"/>
        <rFont val="Calibri"/>
        <family val="2"/>
        <scheme val="minor"/>
      </rPr>
      <t>iii.</t>
    </r>
    <r>
      <rPr>
        <sz val="7"/>
        <color theme="1"/>
        <rFont val="Times New Roman"/>
        <family val="1"/>
      </rPr>
      <t xml:space="preserve">      </t>
    </r>
    <r>
      <rPr>
        <sz val="11"/>
        <color theme="1"/>
        <rFont val="Calibri"/>
        <family val="2"/>
        <scheme val="minor"/>
      </rPr>
      <t>Project management</t>
    </r>
  </si>
  <si>
    <r>
      <t>4.</t>
    </r>
    <r>
      <rPr>
        <sz val="7"/>
        <color theme="1"/>
        <rFont val="Times New Roman"/>
        <family val="1"/>
      </rPr>
      <t xml:space="preserve">       </t>
    </r>
    <r>
      <rPr>
        <sz val="11"/>
        <color theme="1"/>
        <rFont val="Calibri"/>
        <family val="2"/>
        <scheme val="minor"/>
      </rPr>
      <t>The cost associated with building a new distribution substation assumed $14.5M</t>
    </r>
  </si>
  <si>
    <t>Additional costs are associated with a greenfield site which includes property acquisition, civil work, etc. These are captured in the 50% contingency added to the costs above.</t>
  </si>
  <si>
    <t>Total Cost due to De-carbonization</t>
  </si>
  <si>
    <t># of Subs</t>
  </si>
  <si>
    <t>$M</t>
  </si>
  <si>
    <t>+50%</t>
  </si>
  <si>
    <t>DISTRIBUTION FEEDERS - ASSUMPTIONS</t>
  </si>
  <si>
    <t>Feeders that reach 400A with forecasted loads will require new construction equal to 3 miles of feeder.</t>
  </si>
  <si>
    <t>Expected feeder loading is based on the forecast data provided (E3 Data) for the County level.</t>
  </si>
  <si>
    <t>County load growth due to electrification is assumed to be evenly spread across the circuits in each county for the purposes of this estimate.</t>
  </si>
  <si>
    <t>Feeders that are associated with anticipated substation needs are not counted in the feeder section.  They have been accounted for with the substation estimates.</t>
  </si>
  <si>
    <r>
      <t xml:space="preserve">Feeder costs vary widely.  For this analysis, the average cost was assumed to equal the cost of an underground feeder classified as "difficult" to construct (see </t>
    </r>
    <r>
      <rPr>
        <b/>
        <sz val="11"/>
        <color theme="1"/>
        <rFont val="Calibri"/>
        <family val="2"/>
        <scheme val="minor"/>
      </rPr>
      <t>Distribution System Data</t>
    </r>
    <r>
      <rPr>
        <sz val="11"/>
        <color theme="1"/>
        <rFont val="Calibri"/>
        <family val="2"/>
        <scheme val="minor"/>
      </rPr>
      <t xml:space="preserve"> tab for feeder cost information)</t>
    </r>
  </si>
  <si>
    <t>DISTRIBUTION FEEDERS - METHODS</t>
  </si>
  <si>
    <t xml:space="preserve">Circuit Data is from CAR (Circuits at Risk) planning tool spreadsheet. </t>
  </si>
  <si>
    <r>
      <t xml:space="preserve">Load growth is extracted from E3 Data (See </t>
    </r>
    <r>
      <rPr>
        <b/>
        <sz val="11"/>
        <color theme="1"/>
        <rFont val="Calibri"/>
        <family val="2"/>
        <scheme val="minor"/>
      </rPr>
      <t>E3 Data</t>
    </r>
    <r>
      <rPr>
        <sz val="11"/>
        <color theme="1"/>
        <rFont val="Calibri"/>
        <family val="2"/>
        <scheme val="minor"/>
      </rPr>
      <t xml:space="preserve"> tab)</t>
    </r>
  </si>
  <si>
    <t>For each growth scenario, the circuits with a loading level that exceeds a threshold that can accommodate the growth level is identified and these are the  circuits that are counted (subtracting out those which have already been identified with a substation project).</t>
  </si>
  <si>
    <t>SERVICE TRANSFORMERS - ASSUMPTIONS</t>
  </si>
  <si>
    <t>Conversion by customers of SPACE HEAT will drive need for service transformer upgrades.  Space heat conversion was present in the Carbon Out + Additional Electric and High Electrification scenarios.</t>
  </si>
  <si>
    <t>Residential transformers usually serve more than one customer and can serve many customers.  Assumed that for every 5 customer conversions, 1 transformer upgrade would be required.</t>
  </si>
  <si>
    <t>Cost of underground or overhead residential transformer upgrade is assumed to be the same.</t>
  </si>
  <si>
    <t>Commercial transformers vary widely in with # of customers served and cost to upgrade due to wide range of transformer sizes that serve commercial customers.  For this analysis, it was assumed for every 2 commercial space heat conversions, 1 transformer upgrade would be required.</t>
  </si>
  <si>
    <t xml:space="preserve">Cost of commercial transformer assumed to = average of lowest and highest transformer costs.  </t>
  </si>
  <si>
    <t>SERVICE TRANSFORMERS - METHODS</t>
  </si>
  <si>
    <t>2021 REGIONAL PLANNING BUDGET TOOL (spreadsheet tool) used for transformer upgrade cost estimates.</t>
  </si>
  <si>
    <t xml:space="preserve">Estimated # of customers converting SH in 2025 and 2040 by extrapolating from E3 Data:  Scenarios identify space heat conversion levels as a percentage of customers for 2030.  </t>
  </si>
  <si>
    <t>Cascade Natural Gas customer counts in PSE Electric Counties are not provided in the E3 Data, so this was further estimated using load data.</t>
  </si>
  <si>
    <t>NET NEW FEEDER COUNT - 2020 dollars</t>
  </si>
  <si>
    <t>2021-2025</t>
  </si>
  <si>
    <t>CO</t>
  </si>
  <si>
    <t>CO+E</t>
  </si>
  <si>
    <t>HE</t>
  </si>
  <si>
    <t>Transformer Upgrade Cost (each) - $M</t>
  </si>
  <si>
    <t>King</t>
  </si>
  <si>
    <t>2020 dollars</t>
  </si>
  <si>
    <t>2025 dollars</t>
  </si>
  <si>
    <t>2040 dollars</t>
  </si>
  <si>
    <t>TOTAL</t>
  </si>
  <si>
    <t>COST $M</t>
  </si>
  <si>
    <t>2020 DOLLARS</t>
  </si>
  <si>
    <t>UPGRADED  RESIDENTIAL TRANSFORMER COUNT - 2020 dollars</t>
  </si>
  <si>
    <t>2025 $$</t>
  </si>
  <si>
    <t>2040 $$</t>
  </si>
  <si>
    <t>Existing System Summary</t>
  </si>
  <si>
    <t>Number of Assets
(Full PSE Ownership)</t>
  </si>
  <si>
    <t>Number of Assets
(Partial PSE Ownership)</t>
  </si>
  <si>
    <t>Miles of Assets (PSE Owned)</t>
  </si>
  <si>
    <t>55 kV Transmission</t>
  </si>
  <si>
    <t>115 kV Transmission</t>
  </si>
  <si>
    <t>Total Transmission*</t>
  </si>
  <si>
    <t xml:space="preserve">*Excludes Colstrip transmission </t>
  </si>
  <si>
    <t>**Does not account for system elements that may be added through projects that are already in the planning stage.</t>
  </si>
  <si>
    <t>System Upgrade Summary</t>
  </si>
  <si>
    <t>0 mi</t>
  </si>
  <si>
    <t>66.7 mi</t>
  </si>
  <si>
    <t>73.1 mi</t>
  </si>
  <si>
    <t>177.4 mi</t>
  </si>
  <si>
    <t>2 mi</t>
  </si>
  <si>
    <t>3.2 mi</t>
  </si>
  <si>
    <t>4.2 mi</t>
  </si>
  <si>
    <r>
      <t>Bulk 230/115 kV Transformers</t>
    </r>
    <r>
      <rPr>
        <vertAlign val="superscript"/>
        <sz val="11"/>
        <color theme="1"/>
        <rFont val="Calibri"/>
        <family val="2"/>
        <scheme val="minor"/>
      </rPr>
      <t>1</t>
    </r>
  </si>
  <si>
    <r>
      <t>Transmission Switching Stations</t>
    </r>
    <r>
      <rPr>
        <vertAlign val="superscript"/>
        <sz val="11"/>
        <color theme="1"/>
        <rFont val="Calibri"/>
        <family val="2"/>
        <scheme val="minor"/>
      </rPr>
      <t>2</t>
    </r>
  </si>
  <si>
    <t>6 mi</t>
  </si>
  <si>
    <t>12 mi</t>
  </si>
  <si>
    <t>33 mi</t>
  </si>
  <si>
    <t>48 mi</t>
  </si>
  <si>
    <t>108 mi</t>
  </si>
  <si>
    <t>57 mi</t>
  </si>
  <si>
    <t>54 mi</t>
  </si>
  <si>
    <t>120 mi</t>
  </si>
  <si>
    <t>90 mi</t>
  </si>
  <si>
    <t>6, 026</t>
  </si>
  <si>
    <r>
      <rPr>
        <vertAlign val="superscript"/>
        <sz val="11"/>
        <color theme="1"/>
        <rFont val="Calibri"/>
        <family val="2"/>
        <scheme val="minor"/>
      </rPr>
      <t>1</t>
    </r>
    <r>
      <rPr>
        <sz val="11"/>
        <color theme="1"/>
        <rFont val="Calibri"/>
        <family val="2"/>
        <scheme val="minor"/>
      </rPr>
      <t xml:space="preserve"> Fractions represent substation being converted from one voltage to another (i.e. conversion of 55 kV to 115 kV), which would be a fraction of the cost of a new switching substation.</t>
    </r>
  </si>
  <si>
    <r>
      <rPr>
        <vertAlign val="superscript"/>
        <sz val="11"/>
        <color theme="1"/>
        <rFont val="Calibri"/>
        <family val="2"/>
        <scheme val="minor"/>
      </rPr>
      <t>2</t>
    </r>
    <r>
      <rPr>
        <sz val="11"/>
        <color theme="1"/>
        <rFont val="Calibri"/>
        <family val="2"/>
        <scheme val="minor"/>
      </rPr>
      <t xml:space="preserve"> Considers both the addition of new switching stations as well as major reconfiguration of existing switching stations, which would be a fraction of the cost of a new switching station</t>
    </r>
  </si>
  <si>
    <t xml:space="preserve">The 2025 column represents </t>
  </si>
  <si>
    <t>Year 20 New Transmission Line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</si>
</sst>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_);\(#,##0.0\)"/>
    <numFmt numFmtId="165" formatCode="_(&quot;$&quot;* #,##0.0_);_(&quot;$&quot;* \(#,##0.0\);_(&quot;$&quot;* &quot;-&quot;??_);_(@_)"/>
    <numFmt numFmtId="166" formatCode="&quot;$&quot;#,##0"/>
    <numFmt numFmtId="167" formatCode="0.0"/>
    <numFmt numFmtId="168" formatCode="&quot;$&quot;#,##0.00"/>
    <numFmt numFmtId="169" formatCode="[&lt;1.25]0.000;[&lt;10]0.0;#,##0"/>
    <numFmt numFmtId="170" formatCode="&quot;$&quot;#,##0.0"/>
    <numFmt numFmtId="171" formatCode="_(* #,##0_);_(* \(#,##0\);_(* &quot;-&quot;??_);_(@_)"/>
    <numFmt numFmtId="172" formatCode="_(&quot;$&quot;* #,##0.0000_);_(&quot;$&quot;* \(#,##0.0000\);_(&quot;$&quot;* &quot;-&quot;??_);_(@_)"/>
    <numFmt numFmtId="173" formatCode="#,##0;\(#,##0\);\-"/>
    <numFmt numFmtId="174" formatCode="#,##0.0;\(#,##0.0\);\-"/>
  </numFmts>
  <fonts count="36"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sz val="11"/>
      <color rgb="FFC00000"/>
      <name val="Calibri"/>
      <family val="2"/>
      <scheme val="minor"/>
    </font>
    <font>
      <b/>
      <sz val="14"/>
      <color theme="1"/>
      <name val="Calibri"/>
      <family val="2"/>
      <scheme val="minor"/>
    </font>
    <font>
      <sz val="7"/>
      <color theme="1"/>
      <name val="Times New Roman"/>
      <family val="1"/>
    </font>
    <font>
      <sz val="11"/>
      <name val="Calibri"/>
      <family val="2"/>
      <scheme val="minor"/>
    </font>
    <font>
      <b/>
      <sz val="11"/>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Arial"/>
      <family val="2"/>
    </font>
    <font>
      <b/>
      <sz val="10"/>
      <color theme="1"/>
      <name val="Arial"/>
      <family val="2"/>
    </font>
    <font>
      <b/>
      <sz val="10"/>
      <color theme="0"/>
      <name val="Arial"/>
      <family val="2"/>
    </font>
    <font>
      <sz val="10"/>
      <color theme="5"/>
      <name val="Arial"/>
      <family val="2"/>
    </font>
    <font>
      <sz val="10"/>
      <color rgb="FF008000"/>
      <name val="Arial"/>
      <family val="2"/>
    </font>
    <font>
      <b/>
      <sz val="10"/>
      <color theme="5"/>
      <name val="Arial"/>
      <family val="2"/>
    </font>
    <font>
      <b/>
      <sz val="10"/>
      <name val="Arial"/>
      <family val="2"/>
    </font>
    <font>
      <sz val="10"/>
      <name val="Arial"/>
      <family val="2"/>
    </font>
    <font>
      <b/>
      <sz val="11"/>
      <color theme="0"/>
      <name val="Calibri"/>
      <family val="2"/>
      <scheme val="minor"/>
    </font>
    <font>
      <u/>
      <sz val="11"/>
      <color theme="1"/>
      <name val="Calibri"/>
      <family val="2"/>
      <scheme val="minor"/>
    </font>
    <font>
      <sz val="11"/>
      <color theme="1"/>
      <name val="Arial"/>
      <family val="2"/>
    </font>
    <font>
      <b/>
      <sz val="11"/>
      <color theme="0"/>
      <name val="Arial"/>
      <family val="2"/>
    </font>
    <font>
      <u/>
      <sz val="11"/>
      <color theme="1"/>
      <name val="Arial"/>
      <family val="2"/>
    </font>
    <font>
      <sz val="10"/>
      <color theme="1"/>
      <name val="Calibri"/>
      <family val="2"/>
    </font>
    <font>
      <sz val="24"/>
      <name val="Calibri"/>
      <family val="2"/>
    </font>
    <font>
      <sz val="16"/>
      <color theme="1"/>
      <name val="Calibri"/>
      <family val="2"/>
    </font>
    <font>
      <b/>
      <sz val="10"/>
      <color theme="1"/>
      <name val="Calibri"/>
      <family val="2"/>
    </font>
    <font>
      <sz val="10"/>
      <name val="Calibri"/>
      <family val="2"/>
    </font>
    <font>
      <sz val="22"/>
      <color theme="1"/>
      <name val="Calibri"/>
      <family val="2"/>
    </font>
    <font>
      <b/>
      <sz val="11"/>
      <color theme="1"/>
      <name val="Arial"/>
      <family val="2"/>
    </font>
  </fonts>
  <fills count="15">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6671"/>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rgb="FF58C3B4"/>
        <bgColor indexed="64"/>
      </patternFill>
    </fill>
  </fills>
  <borders count="8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double">
        <color theme="0" tint="-0.14993743705557422"/>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double">
        <color theme="0" tint="-0.14990691854609822"/>
      </top>
      <bottom style="thin">
        <color theme="0" tint="-0.14993743705557422"/>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3743705557422"/>
      </right>
      <top style="thin">
        <color theme="0" tint="-0.14993743705557422"/>
      </top>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double">
        <color theme="0" tint="-0.14990691854609822"/>
      </top>
      <bottom style="thin">
        <color theme="0" tint="-0.14993743705557422"/>
      </bottom>
      <diagonal/>
    </border>
    <border>
      <left/>
      <right style="thin">
        <color theme="0" tint="-0.14993743705557422"/>
      </right>
      <top style="double">
        <color theme="0" tint="-0.149906918546098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9" fillId="0" borderId="0"/>
    <xf numFmtId="43" fontId="29" fillId="0" borderId="0" applyFont="0" applyFill="0" applyBorder="0" applyAlignment="0" applyProtection="0"/>
  </cellStyleXfs>
  <cellXfs count="472">
    <xf numFmtId="0" fontId="0" fillId="0" borderId="0" xfId="0"/>
    <xf numFmtId="0" fontId="0" fillId="0" borderId="0" xfId="0" quotePrefix="1"/>
    <xf numFmtId="0" fontId="1" fillId="0" borderId="0" xfId="0" applyFont="1"/>
    <xf numFmtId="0" fontId="0" fillId="0" borderId="4" xfId="0" applyBorder="1"/>
    <xf numFmtId="0" fontId="1" fillId="0" borderId="7" xfId="0" applyFont="1" applyBorder="1"/>
    <xf numFmtId="0" fontId="0" fillId="0" borderId="1" xfId="0" applyBorder="1"/>
    <xf numFmtId="0" fontId="0" fillId="0" borderId="7" xfId="0" applyBorder="1"/>
    <xf numFmtId="0" fontId="0" fillId="0" borderId="0" xfId="0" applyAlignment="1">
      <alignment horizontal="center"/>
    </xf>
    <xf numFmtId="0" fontId="0" fillId="0" borderId="4" xfId="0" applyBorder="1" applyAlignment="1">
      <alignment horizontal="center"/>
    </xf>
    <xf numFmtId="0" fontId="3" fillId="0" borderId="0" xfId="0" applyFont="1"/>
    <xf numFmtId="0" fontId="1" fillId="2" borderId="0" xfId="0" applyFont="1" applyFill="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8" fontId="0" fillId="0" borderId="0" xfId="0" applyNumberFormat="1" applyAlignment="1">
      <alignment horizontal="center" vertical="center"/>
    </xf>
    <xf numFmtId="8" fontId="1" fillId="0" borderId="0" xfId="0" applyNumberFormat="1" applyFont="1" applyAlignment="1">
      <alignment horizontal="center" vertical="center"/>
    </xf>
    <xf numFmtId="10" fontId="0" fillId="0" borderId="0" xfId="0" applyNumberFormat="1"/>
    <xf numFmtId="164" fontId="0" fillId="0" borderId="0" xfId="1" applyNumberFormat="1" applyFont="1" applyBorder="1" applyAlignment="1">
      <alignment horizontal="center" vertical="center"/>
    </xf>
    <xf numFmtId="9" fontId="0" fillId="0" borderId="0" xfId="0" applyNumberFormat="1" applyAlignment="1">
      <alignment horizontal="center" vertical="center"/>
    </xf>
    <xf numFmtId="8" fontId="6" fillId="0" borderId="0" xfId="0" applyNumberFormat="1" applyFont="1" applyAlignment="1">
      <alignment horizontal="center" vertical="center"/>
    </xf>
    <xf numFmtId="9" fontId="6" fillId="0" borderId="0" xfId="0" applyNumberFormat="1" applyFont="1" applyAlignment="1">
      <alignment horizontal="center" vertical="center"/>
    </xf>
    <xf numFmtId="0" fontId="6" fillId="0" borderId="0" xfId="0" applyFont="1" applyAlignment="1">
      <alignment horizontal="center" vertical="center"/>
    </xf>
    <xf numFmtId="0" fontId="0" fillId="0" borderId="0" xfId="0" applyAlignment="1">
      <alignment horizontal="left" wrapText="1" indent="1"/>
    </xf>
    <xf numFmtId="0" fontId="7" fillId="0" borderId="0" xfId="0" applyFont="1"/>
    <xf numFmtId="0" fontId="1" fillId="0" borderId="0" xfId="0" applyFont="1" applyAlignment="1">
      <alignment vertical="center"/>
    </xf>
    <xf numFmtId="0" fontId="0" fillId="0" borderId="0" xfId="0" applyAlignment="1">
      <alignment horizontal="left" vertical="center" indent="5"/>
    </xf>
    <xf numFmtId="0" fontId="0" fillId="0" borderId="0" xfId="0" applyAlignment="1">
      <alignment horizontal="left" vertical="center" indent="10"/>
    </xf>
    <xf numFmtId="0" fontId="8" fillId="0" borderId="0" xfId="0" applyFont="1" applyAlignment="1">
      <alignment horizontal="left" vertical="center" indent="15"/>
    </xf>
    <xf numFmtId="0" fontId="0" fillId="0" borderId="0" xfId="0" applyAlignment="1">
      <alignment horizontal="left" vertical="center" indent="15"/>
    </xf>
    <xf numFmtId="0" fontId="1" fillId="0" borderId="0" xfId="0" applyFont="1" applyAlignment="1">
      <alignment horizontal="left" wrapText="1" indent="1"/>
    </xf>
    <xf numFmtId="0" fontId="5" fillId="0" borderId="0" xfId="0" applyFont="1"/>
    <xf numFmtId="0" fontId="9" fillId="0" borderId="2" xfId="0" applyFont="1" applyBorder="1" applyAlignment="1">
      <alignment horizontal="center" vertical="center"/>
    </xf>
    <xf numFmtId="0" fontId="9" fillId="0" borderId="0" xfId="0" applyFont="1"/>
    <xf numFmtId="1" fontId="0" fillId="0" borderId="0" xfId="0" applyNumberFormat="1"/>
    <xf numFmtId="3" fontId="0" fillId="0" borderId="0" xfId="0" applyNumberFormat="1"/>
    <xf numFmtId="0" fontId="2" fillId="0" borderId="0" xfId="0" applyFont="1"/>
    <xf numFmtId="0" fontId="1" fillId="0" borderId="0" xfId="0" applyFont="1" applyAlignment="1">
      <alignment horizontal="center"/>
    </xf>
    <xf numFmtId="0" fontId="0" fillId="0" borderId="0" xfId="0" quotePrefix="1" applyAlignment="1">
      <alignment horizontal="center" vertical="center"/>
    </xf>
    <xf numFmtId="164" fontId="0" fillId="0" borderId="0" xfId="1" applyNumberFormat="1" applyFont="1" applyFill="1" applyBorder="1" applyAlignment="1">
      <alignment horizontal="center" vertical="center"/>
    </xf>
    <xf numFmtId="0" fontId="6" fillId="0" borderId="0" xfId="0" applyFont="1"/>
    <xf numFmtId="0" fontId="6" fillId="0" borderId="0" xfId="0" applyFont="1" applyAlignment="1">
      <alignment horizontal="center"/>
    </xf>
    <xf numFmtId="9" fontId="6" fillId="0" borderId="0" xfId="0" applyNumberFormat="1" applyFont="1" applyAlignment="1">
      <alignment horizontal="center"/>
    </xf>
    <xf numFmtId="8" fontId="6" fillId="0" borderId="0" xfId="0" applyNumberFormat="1" applyFont="1" applyAlignment="1">
      <alignment horizontal="center"/>
    </xf>
    <xf numFmtId="6" fontId="6" fillId="0" borderId="0" xfId="0" applyNumberFormat="1" applyFont="1" applyAlignment="1">
      <alignment horizontal="center"/>
    </xf>
    <xf numFmtId="0" fontId="9" fillId="0" borderId="4" xfId="0" applyFont="1" applyBorder="1"/>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9" fillId="0" borderId="1" xfId="0" applyFont="1" applyBorder="1"/>
    <xf numFmtId="0" fontId="9" fillId="0" borderId="2" xfId="0" quotePrefix="1"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5" xfId="0" quotePrefix="1" applyFont="1" applyBorder="1" applyAlignment="1">
      <alignment horizontal="center" vertical="center"/>
    </xf>
    <xf numFmtId="0" fontId="10" fillId="0" borderId="7" xfId="0" applyFont="1" applyBorder="1"/>
    <xf numFmtId="0" fontId="10" fillId="0" borderId="8" xfId="0" applyFont="1" applyBorder="1" applyAlignment="1">
      <alignment horizontal="center" vertical="center"/>
    </xf>
    <xf numFmtId="8" fontId="10" fillId="0" borderId="8" xfId="0" applyNumberFormat="1" applyFont="1" applyBorder="1" applyAlignment="1">
      <alignment horizontal="center" vertical="center"/>
    </xf>
    <xf numFmtId="0" fontId="10" fillId="0" borderId="9" xfId="0" applyFont="1" applyBorder="1" applyAlignment="1">
      <alignment horizontal="center" vertical="center"/>
    </xf>
    <xf numFmtId="0" fontId="9" fillId="0" borderId="16" xfId="0" applyFont="1" applyBorder="1"/>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1" xfId="0" quotePrefix="1"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8" fontId="9" fillId="0" borderId="5" xfId="0" applyNumberFormat="1" applyFont="1" applyBorder="1" applyAlignment="1">
      <alignment horizontal="center" vertical="center"/>
    </xf>
    <xf numFmtId="8" fontId="9" fillId="0" borderId="6" xfId="0" applyNumberFormat="1" applyFont="1" applyBorder="1" applyAlignment="1">
      <alignment horizontal="center" vertical="center"/>
    </xf>
    <xf numFmtId="8" fontId="9" fillId="0" borderId="18" xfId="0" applyNumberFormat="1" applyFont="1" applyBorder="1" applyAlignment="1">
      <alignment horizontal="center" vertical="center"/>
    </xf>
    <xf numFmtId="8" fontId="10" fillId="0" borderId="9" xfId="0" applyNumberFormat="1" applyFont="1" applyBorder="1" applyAlignment="1">
      <alignment horizontal="center" vertical="center"/>
    </xf>
    <xf numFmtId="165" fontId="9" fillId="0" borderId="5" xfId="2" applyNumberFormat="1" applyFont="1" applyFill="1" applyBorder="1" applyAlignment="1">
      <alignment horizontal="center"/>
    </xf>
    <xf numFmtId="0" fontId="1" fillId="0" borderId="2" xfId="0" applyFont="1" applyBorder="1"/>
    <xf numFmtId="0" fontId="1" fillId="0" borderId="3" xfId="0" applyFont="1" applyBorder="1"/>
    <xf numFmtId="166" fontId="0" fillId="0" borderId="5" xfId="0" applyNumberFormat="1" applyBorder="1"/>
    <xf numFmtId="166" fontId="0" fillId="0" borderId="6" xfId="0" applyNumberFormat="1" applyBorder="1"/>
    <xf numFmtId="166" fontId="0" fillId="0" borderId="17" xfId="0" applyNumberFormat="1" applyBorder="1"/>
    <xf numFmtId="166" fontId="0" fillId="0" borderId="18" xfId="0" applyNumberFormat="1" applyBorder="1"/>
    <xf numFmtId="0" fontId="1" fillId="0" borderId="11" xfId="0" applyFont="1" applyBorder="1"/>
    <xf numFmtId="0" fontId="1" fillId="0" borderId="12" xfId="0" applyFont="1" applyBorder="1"/>
    <xf numFmtId="0" fontId="0" fillId="0" borderId="16" xfId="0" applyBorder="1"/>
    <xf numFmtId="0" fontId="1" fillId="3" borderId="1" xfId="0" applyFont="1" applyFill="1" applyBorder="1"/>
    <xf numFmtId="0" fontId="1" fillId="3" borderId="10" xfId="0" applyFont="1" applyFill="1" applyBorder="1"/>
    <xf numFmtId="0" fontId="1" fillId="0" borderId="23" xfId="0" applyFont="1" applyBorder="1"/>
    <xf numFmtId="166" fontId="0" fillId="0" borderId="24" xfId="0" applyNumberFormat="1" applyBorder="1"/>
    <xf numFmtId="166" fontId="0" fillId="0" borderId="25" xfId="0" applyNumberFormat="1" applyBorder="1"/>
    <xf numFmtId="166" fontId="0" fillId="0" borderId="8" xfId="0" applyNumberFormat="1" applyBorder="1"/>
    <xf numFmtId="166" fontId="0" fillId="0" borderId="9" xfId="0" applyNumberFormat="1" applyBorder="1"/>
    <xf numFmtId="0" fontId="0" fillId="0" borderId="9" xfId="0" applyBorder="1"/>
    <xf numFmtId="0" fontId="0" fillId="0" borderId="5" xfId="0" applyBorder="1" applyAlignment="1">
      <alignment horizontal="center"/>
    </xf>
    <xf numFmtId="0" fontId="0" fillId="0" borderId="6" xfId="0" applyBorder="1" applyAlignment="1">
      <alignment horizontal="center"/>
    </xf>
    <xf numFmtId="1" fontId="0" fillId="0" borderId="5" xfId="0" applyNumberFormat="1" applyBorder="1" applyAlignment="1">
      <alignment horizontal="center"/>
    </xf>
    <xf numFmtId="1" fontId="0" fillId="0" borderId="6" xfId="0" applyNumberFormat="1" applyBorder="1" applyAlignment="1">
      <alignment horizontal="center"/>
    </xf>
    <xf numFmtId="1" fontId="0" fillId="0" borderId="8" xfId="0" applyNumberFormat="1" applyBorder="1" applyAlignment="1">
      <alignment horizontal="center"/>
    </xf>
    <xf numFmtId="1" fontId="0" fillId="0" borderId="9" xfId="0" applyNumberFormat="1" applyBorder="1" applyAlignment="1">
      <alignment horizontal="center"/>
    </xf>
    <xf numFmtId="3" fontId="0" fillId="0" borderId="5" xfId="0" applyNumberFormat="1" applyBorder="1" applyAlignment="1">
      <alignment horizontal="center"/>
    </xf>
    <xf numFmtId="3" fontId="0" fillId="0" borderId="8" xfId="0" applyNumberFormat="1" applyBorder="1" applyAlignment="1">
      <alignment horizontal="center"/>
    </xf>
    <xf numFmtId="0" fontId="0" fillId="0" borderId="16" xfId="0" applyBorder="1" applyAlignment="1">
      <alignment horizontal="left"/>
    </xf>
    <xf numFmtId="0" fontId="0" fillId="0" borderId="17" xfId="0" applyBorder="1" applyAlignment="1">
      <alignment horizontal="center"/>
    </xf>
    <xf numFmtId="0" fontId="0" fillId="0" borderId="18" xfId="0" applyBorder="1" applyAlignment="1">
      <alignment horizontal="center"/>
    </xf>
    <xf numFmtId="1" fontId="0" fillId="0" borderId="2" xfId="0" applyNumberFormat="1" applyBorder="1" applyAlignment="1">
      <alignment horizontal="center"/>
    </xf>
    <xf numFmtId="1" fontId="0" fillId="0" borderId="3" xfId="0" applyNumberFormat="1" applyBorder="1" applyAlignment="1">
      <alignment horizontal="center"/>
    </xf>
    <xf numFmtId="0" fontId="0" fillId="0" borderId="0" xfId="0" applyAlignment="1">
      <alignment horizontal="left"/>
    </xf>
    <xf numFmtId="0" fontId="9" fillId="0" borderId="0" xfId="0" applyFont="1" applyAlignment="1">
      <alignment horizontal="center" vertical="center"/>
    </xf>
    <xf numFmtId="9" fontId="9" fillId="0" borderId="0" xfId="0" applyNumberFormat="1" applyFont="1" applyAlignment="1">
      <alignment horizontal="center" vertical="center"/>
    </xf>
    <xf numFmtId="8" fontId="9" fillId="0" borderId="0" xfId="0" applyNumberFormat="1" applyFont="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9"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9" fillId="0" borderId="4" xfId="0" applyFont="1" applyBorder="1" applyAlignment="1">
      <alignment horizontal="center"/>
    </xf>
    <xf numFmtId="0" fontId="9" fillId="0" borderId="5" xfId="0" applyFont="1" applyBorder="1"/>
    <xf numFmtId="167" fontId="0" fillId="0" borderId="11" xfId="0" applyNumberFormat="1" applyBorder="1" applyAlignment="1">
      <alignment horizontal="center"/>
    </xf>
    <xf numFmtId="167" fontId="0" fillId="0" borderId="12" xfId="0" applyNumberForma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67" fontId="0" fillId="0" borderId="5" xfId="0" applyNumberFormat="1" applyBorder="1" applyAlignment="1">
      <alignment horizontal="center"/>
    </xf>
    <xf numFmtId="167" fontId="0" fillId="0" borderId="6" xfId="0" applyNumberFormat="1" applyBorder="1" applyAlignment="1">
      <alignment horizontal="center"/>
    </xf>
    <xf numFmtId="167" fontId="0" fillId="0" borderId="10" xfId="0" applyNumberFormat="1" applyBorder="1" applyAlignment="1">
      <alignment horizontal="center"/>
    </xf>
    <xf numFmtId="167" fontId="0" fillId="0" borderId="0" xfId="0" applyNumberFormat="1" applyAlignment="1">
      <alignment horizontal="center"/>
    </xf>
    <xf numFmtId="167" fontId="0" fillId="0" borderId="32" xfId="0" applyNumberFormat="1" applyBorder="1" applyAlignment="1">
      <alignment horizontal="center"/>
    </xf>
    <xf numFmtId="167" fontId="0" fillId="0" borderId="33" xfId="0" applyNumberFormat="1" applyBorder="1" applyAlignment="1">
      <alignment horizontal="center"/>
    </xf>
    <xf numFmtId="167" fontId="0" fillId="0" borderId="34" xfId="0" applyNumberFormat="1" applyBorder="1" applyAlignment="1">
      <alignment horizontal="center"/>
    </xf>
    <xf numFmtId="0" fontId="0" fillId="0" borderId="3" xfId="0" applyBorder="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6" xfId="0" applyFont="1" applyBorder="1" applyAlignment="1">
      <alignment horizontal="center" vertical="center" wrapText="1"/>
    </xf>
    <xf numFmtId="166" fontId="1" fillId="0" borderId="4" xfId="0" applyNumberFormat="1" applyFont="1" applyBorder="1" applyAlignment="1">
      <alignment wrapText="1"/>
    </xf>
    <xf numFmtId="166" fontId="0" fillId="0" borderId="5" xfId="0" applyNumberFormat="1" applyBorder="1" applyAlignment="1">
      <alignment horizontal="center"/>
    </xf>
    <xf numFmtId="166" fontId="0" fillId="0" borderId="35" xfId="0" applyNumberFormat="1" applyBorder="1" applyAlignment="1">
      <alignment horizontal="center"/>
    </xf>
    <xf numFmtId="0" fontId="0" fillId="0" borderId="6" xfId="0" applyBorder="1"/>
    <xf numFmtId="166" fontId="1" fillId="0" borderId="4" xfId="0" applyNumberFormat="1" applyFont="1" applyBorder="1"/>
    <xf numFmtId="168" fontId="0" fillId="0" borderId="5" xfId="0" applyNumberFormat="1" applyBorder="1" applyAlignment="1">
      <alignment horizontal="center"/>
    </xf>
    <xf numFmtId="168" fontId="0" fillId="0" borderId="35" xfId="0" applyNumberFormat="1" applyBorder="1" applyAlignment="1">
      <alignment horizontal="center"/>
    </xf>
    <xf numFmtId="166" fontId="1" fillId="0" borderId="7" xfId="0" applyNumberFormat="1" applyFont="1" applyBorder="1"/>
    <xf numFmtId="168" fontId="0" fillId="0" borderId="8" xfId="0" applyNumberFormat="1" applyBorder="1" applyAlignment="1">
      <alignment horizontal="center"/>
    </xf>
    <xf numFmtId="168" fontId="0" fillId="0" borderId="36" xfId="0" applyNumberFormat="1" applyBorder="1" applyAlignment="1">
      <alignment horizontal="center"/>
    </xf>
    <xf numFmtId="0" fontId="0" fillId="0" borderId="7" xfId="0" applyBorder="1" applyAlignment="1">
      <alignment horizontal="center"/>
    </xf>
    <xf numFmtId="0" fontId="0" fillId="0" borderId="5" xfId="0" applyBorder="1"/>
    <xf numFmtId="0" fontId="0" fillId="0" borderId="35" xfId="0" applyBorder="1"/>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2" xfId="0" applyFont="1" applyBorder="1" applyAlignment="1">
      <alignment horizontal="center" vertical="center" wrapText="1"/>
    </xf>
    <xf numFmtId="169" fontId="12" fillId="0" borderId="32" xfId="0" applyNumberFormat="1" applyFont="1" applyBorder="1" applyAlignment="1">
      <alignment horizontal="center" vertical="center" wrapText="1"/>
    </xf>
    <xf numFmtId="169" fontId="12" fillId="0" borderId="33" xfId="0" applyNumberFormat="1" applyFont="1" applyBorder="1" applyAlignment="1">
      <alignment horizontal="center" vertical="center" wrapText="1"/>
    </xf>
    <xf numFmtId="169" fontId="12" fillId="0" borderId="34" xfId="0" applyNumberFormat="1" applyFont="1" applyBorder="1" applyAlignment="1">
      <alignment horizontal="center" vertical="center" wrapText="1"/>
    </xf>
    <xf numFmtId="169" fontId="12" fillId="0" borderId="37" xfId="0" applyNumberFormat="1" applyFont="1" applyBorder="1" applyAlignment="1">
      <alignment horizontal="center" vertical="center" wrapText="1"/>
    </xf>
    <xf numFmtId="169" fontId="12" fillId="0" borderId="38" xfId="0" applyNumberFormat="1" applyFont="1" applyBorder="1" applyAlignment="1">
      <alignment horizontal="center" vertical="center" wrapText="1"/>
    </xf>
    <xf numFmtId="169" fontId="12" fillId="0" borderId="39" xfId="0" applyNumberFormat="1" applyFont="1" applyBorder="1" applyAlignment="1">
      <alignment horizontal="center" vertical="center" wrapText="1"/>
    </xf>
    <xf numFmtId="169" fontId="12" fillId="0" borderId="40"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5" xfId="0" applyFont="1" applyBorder="1" applyAlignment="1">
      <alignment horizontal="center" vertical="center" wrapText="1"/>
    </xf>
    <xf numFmtId="169" fontId="14" fillId="0" borderId="45" xfId="0" applyNumberFormat="1" applyFont="1" applyBorder="1" applyAlignment="1">
      <alignment horizontal="center" vertical="center" wrapText="1"/>
    </xf>
    <xf numFmtId="0" fontId="14" fillId="0" borderId="0" xfId="0" applyFont="1" applyAlignment="1">
      <alignment vertical="center" wrapText="1"/>
    </xf>
    <xf numFmtId="0" fontId="9"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6" xfId="0" applyFont="1" applyBorder="1" applyAlignment="1">
      <alignment horizontal="center" vertical="center" wrapText="1"/>
    </xf>
    <xf numFmtId="0" fontId="0" fillId="4" borderId="11" xfId="0" applyFill="1" applyBorder="1" applyAlignment="1">
      <alignment horizontal="center"/>
    </xf>
    <xf numFmtId="0" fontId="13" fillId="0" borderId="0" xfId="0" applyFont="1" applyAlignment="1">
      <alignment horizontal="center" vertical="center" wrapText="1"/>
    </xf>
    <xf numFmtId="0" fontId="1" fillId="0" borderId="4" xfId="0" applyFont="1" applyBorder="1"/>
    <xf numFmtId="0" fontId="1" fillId="0" borderId="4" xfId="0" applyFont="1" applyBorder="1" applyAlignment="1">
      <alignment wrapText="1"/>
    </xf>
    <xf numFmtId="170" fontId="0" fillId="0" borderId="5" xfId="0" applyNumberFormat="1" applyBorder="1" applyAlignment="1">
      <alignment horizontal="center"/>
    </xf>
    <xf numFmtId="170" fontId="0" fillId="0" borderId="6" xfId="0" applyNumberFormat="1" applyBorder="1" applyAlignment="1">
      <alignment horizontal="center"/>
    </xf>
    <xf numFmtId="166" fontId="0" fillId="0" borderId="6" xfId="0" applyNumberFormat="1" applyBorder="1" applyAlignment="1">
      <alignment horizontal="center"/>
    </xf>
    <xf numFmtId="0" fontId="1" fillId="0" borderId="16" xfId="0" applyFont="1" applyBorder="1"/>
    <xf numFmtId="170" fontId="0" fillId="0" borderId="17" xfId="0" applyNumberFormat="1" applyBorder="1" applyAlignment="1">
      <alignment horizontal="center"/>
    </xf>
    <xf numFmtId="170" fontId="0" fillId="0" borderId="8" xfId="0" applyNumberFormat="1" applyBorder="1" applyAlignment="1">
      <alignment horizontal="center"/>
    </xf>
    <xf numFmtId="170" fontId="0" fillId="0" borderId="9" xfId="0" applyNumberFormat="1" applyBorder="1" applyAlignment="1">
      <alignment horizontal="center"/>
    </xf>
    <xf numFmtId="166" fontId="0" fillId="0" borderId="8" xfId="0" applyNumberFormat="1" applyBorder="1" applyAlignment="1">
      <alignment horizontal="center"/>
    </xf>
    <xf numFmtId="166" fontId="0" fillId="0" borderId="9" xfId="0" applyNumberFormat="1" applyBorder="1" applyAlignment="1">
      <alignment horizontal="center"/>
    </xf>
    <xf numFmtId="166" fontId="0" fillId="0" borderId="0" xfId="0" applyNumberFormat="1"/>
    <xf numFmtId="9" fontId="0" fillId="0" borderId="0" xfId="3" applyFont="1"/>
    <xf numFmtId="0" fontId="0" fillId="0" borderId="0" xfId="0" applyAlignment="1">
      <alignment horizontal="left" wrapText="1"/>
    </xf>
    <xf numFmtId="9" fontId="0" fillId="0" borderId="5" xfId="0" quotePrefix="1" applyNumberFormat="1" applyBorder="1"/>
    <xf numFmtId="9" fontId="0" fillId="0" borderId="6" xfId="0" quotePrefix="1" applyNumberFormat="1" applyBorder="1"/>
    <xf numFmtId="0" fontId="0" fillId="0" borderId="8" xfId="0" applyBorder="1"/>
    <xf numFmtId="0" fontId="1" fillId="0" borderId="1" xfId="0" applyFont="1" applyBorder="1"/>
    <xf numFmtId="0" fontId="0" fillId="5" borderId="5" xfId="0" applyFill="1" applyBorder="1" applyAlignment="1">
      <alignment horizontal="center"/>
    </xf>
    <xf numFmtId="0" fontId="0" fillId="5" borderId="5" xfId="0" applyFill="1" applyBorder="1"/>
    <xf numFmtId="0" fontId="0" fillId="6" borderId="5" xfId="0" applyFill="1" applyBorder="1"/>
    <xf numFmtId="0" fontId="0" fillId="7" borderId="5" xfId="0" applyFill="1" applyBorder="1"/>
    <xf numFmtId="165" fontId="0" fillId="7" borderId="5" xfId="2" applyNumberFormat="1" applyFont="1" applyFill="1" applyBorder="1"/>
    <xf numFmtId="0" fontId="0" fillId="8" borderId="45" xfId="0" applyFill="1" applyBorder="1"/>
    <xf numFmtId="171" fontId="0" fillId="0" borderId="5" xfId="1" applyNumberFormat="1" applyFont="1" applyBorder="1"/>
    <xf numFmtId="171" fontId="0" fillId="0" borderId="5" xfId="0" applyNumberFormat="1" applyBorder="1"/>
    <xf numFmtId="0" fontId="0" fillId="8" borderId="5" xfId="0" applyFill="1" applyBorder="1"/>
    <xf numFmtId="171" fontId="0" fillId="6" borderId="5" xfId="1" applyNumberFormat="1" applyFont="1" applyFill="1" applyBorder="1"/>
    <xf numFmtId="0" fontId="0" fillId="0" borderId="21" xfId="0" applyBorder="1" applyAlignment="1">
      <alignment horizontal="center"/>
    </xf>
    <xf numFmtId="0" fontId="0" fillId="0" borderId="48" xfId="0" applyBorder="1" applyAlignment="1">
      <alignment horizontal="center"/>
    </xf>
    <xf numFmtId="44" fontId="0" fillId="0" borderId="43" xfId="2" applyFont="1" applyBorder="1"/>
    <xf numFmtId="44" fontId="0" fillId="0" borderId="44" xfId="2" applyFont="1" applyBorder="1"/>
    <xf numFmtId="44" fontId="0" fillId="0" borderId="0" xfId="2" applyFont="1"/>
    <xf numFmtId="0" fontId="0" fillId="0" borderId="27" xfId="0" applyBorder="1"/>
    <xf numFmtId="0" fontId="0" fillId="0" borderId="45" xfId="0" applyBorder="1"/>
    <xf numFmtId="172" fontId="0" fillId="0" borderId="5" xfId="2" applyNumberFormat="1" applyFont="1" applyBorder="1"/>
    <xf numFmtId="0" fontId="1" fillId="0" borderId="0" xfId="0" applyFont="1" applyAlignment="1">
      <alignment horizontal="left"/>
    </xf>
    <xf numFmtId="0" fontId="0" fillId="0" borderId="4" xfId="0" applyBorder="1" applyAlignment="1">
      <alignment horizontal="center" vertical="center"/>
    </xf>
    <xf numFmtId="3" fontId="0" fillId="0" borderId="9" xfId="0" applyNumberFormat="1" applyBorder="1" applyAlignment="1">
      <alignment horizontal="center"/>
    </xf>
    <xf numFmtId="3" fontId="0" fillId="0" borderId="7" xfId="0" applyNumberFormat="1" applyBorder="1"/>
    <xf numFmtId="0" fontId="0" fillId="0" borderId="49" xfId="0" applyBorder="1"/>
    <xf numFmtId="0" fontId="0" fillId="0" borderId="50" xfId="0" applyBorder="1"/>
    <xf numFmtId="0" fontId="0" fillId="0" borderId="51" xfId="0" applyBorder="1"/>
    <xf numFmtId="0" fontId="16" fillId="0" borderId="0" xfId="0" applyFont="1"/>
    <xf numFmtId="0" fontId="17" fillId="0" borderId="0" xfId="0" applyFont="1"/>
    <xf numFmtId="0" fontId="18" fillId="9" borderId="35" xfId="0" applyFont="1" applyFill="1" applyBorder="1"/>
    <xf numFmtId="0" fontId="18" fillId="9" borderId="27" xfId="0" applyFont="1" applyFill="1" applyBorder="1"/>
    <xf numFmtId="9" fontId="16" fillId="0" borderId="0" xfId="3" applyFont="1"/>
    <xf numFmtId="0" fontId="19" fillId="0" borderId="0" xfId="0" applyFont="1"/>
    <xf numFmtId="173" fontId="20" fillId="0" borderId="0" xfId="1" applyNumberFormat="1" applyFont="1" applyFill="1" applyBorder="1" applyAlignment="1">
      <alignment horizontal="center"/>
    </xf>
    <xf numFmtId="0" fontId="17" fillId="0" borderId="27" xfId="0" applyFont="1" applyBorder="1"/>
    <xf numFmtId="0" fontId="21" fillId="0" borderId="27" xfId="0" applyFont="1" applyBorder="1"/>
    <xf numFmtId="173" fontId="22" fillId="0" borderId="27" xfId="1" applyNumberFormat="1" applyFont="1" applyFill="1" applyBorder="1" applyAlignment="1">
      <alignment horizontal="center"/>
    </xf>
    <xf numFmtId="173" fontId="19" fillId="0" borderId="0" xfId="1" applyNumberFormat="1" applyFont="1" applyFill="1" applyBorder="1" applyAlignment="1">
      <alignment horizontal="center"/>
    </xf>
    <xf numFmtId="174" fontId="23" fillId="0" borderId="0" xfId="1" applyNumberFormat="1" applyFont="1" applyFill="1" applyBorder="1" applyAlignment="1">
      <alignment horizontal="center"/>
    </xf>
    <xf numFmtId="168" fontId="0" fillId="0" borderId="5" xfId="0" applyNumberFormat="1" applyBorder="1"/>
    <xf numFmtId="168" fontId="0" fillId="0" borderId="8" xfId="0" applyNumberFormat="1" applyBorder="1"/>
    <xf numFmtId="0" fontId="0" fillId="0" borderId="2" xfId="0" applyBorder="1"/>
    <xf numFmtId="0" fontId="0" fillId="3" borderId="6" xfId="0" applyFill="1" applyBorder="1"/>
    <xf numFmtId="0" fontId="0" fillId="3" borderId="9" xfId="0" applyFill="1" applyBorder="1"/>
    <xf numFmtId="0" fontId="1" fillId="0" borderId="2" xfId="0" applyFont="1" applyBorder="1" applyAlignment="1">
      <alignment wrapText="1"/>
    </xf>
    <xf numFmtId="0" fontId="1" fillId="0" borderId="3" xfId="0" applyFont="1" applyBorder="1" applyAlignment="1">
      <alignment wrapText="1"/>
    </xf>
    <xf numFmtId="0" fontId="1" fillId="0" borderId="5" xfId="0" applyFont="1" applyBorder="1"/>
    <xf numFmtId="0" fontId="1" fillId="0" borderId="6" xfId="0" applyFont="1" applyBorder="1"/>
    <xf numFmtId="0" fontId="0" fillId="3" borderId="35" xfId="0" applyFill="1" applyBorder="1"/>
    <xf numFmtId="0" fontId="0" fillId="3" borderId="36" xfId="0" applyFill="1" applyBorder="1"/>
    <xf numFmtId="0" fontId="1" fillId="0" borderId="54" xfId="0" applyFont="1" applyBorder="1"/>
    <xf numFmtId="0" fontId="1" fillId="10" borderId="55" xfId="0" applyFont="1" applyFill="1" applyBorder="1"/>
    <xf numFmtId="166" fontId="0" fillId="10" borderId="56" xfId="0" applyNumberFormat="1" applyFill="1" applyBorder="1"/>
    <xf numFmtId="166" fontId="0" fillId="10" borderId="57" xfId="0" applyNumberFormat="1" applyFill="1" applyBorder="1"/>
    <xf numFmtId="0" fontId="0" fillId="10" borderId="0" xfId="0" applyFill="1"/>
    <xf numFmtId="166" fontId="0" fillId="10" borderId="0" xfId="0" applyNumberFormat="1" applyFill="1"/>
    <xf numFmtId="0" fontId="0" fillId="0" borderId="55" xfId="0" applyBorder="1" applyAlignment="1">
      <alignment horizontal="left"/>
    </xf>
    <xf numFmtId="0" fontId="0" fillId="0" borderId="56" xfId="0" applyBorder="1" applyAlignment="1">
      <alignment horizontal="center"/>
    </xf>
    <xf numFmtId="0" fontId="0" fillId="0" borderId="57" xfId="0" applyBorder="1" applyAlignment="1">
      <alignment horizontal="center"/>
    </xf>
    <xf numFmtId="3" fontId="0" fillId="0" borderId="0" xfId="0" applyNumberFormat="1" applyAlignment="1">
      <alignment horizontal="center"/>
    </xf>
    <xf numFmtId="1" fontId="0" fillId="0" borderId="0" xfId="0" applyNumberFormat="1" applyAlignment="1">
      <alignment horizontal="center"/>
    </xf>
    <xf numFmtId="168" fontId="0" fillId="0" borderId="0" xfId="0" applyNumberFormat="1"/>
    <xf numFmtId="168" fontId="0" fillId="0" borderId="9" xfId="0" applyNumberFormat="1" applyBorder="1"/>
    <xf numFmtId="168" fontId="0" fillId="0" borderId="6" xfId="0" applyNumberFormat="1" applyBorder="1"/>
    <xf numFmtId="0" fontId="1" fillId="0" borderId="49" xfId="0" applyFont="1" applyBorder="1"/>
    <xf numFmtId="0" fontId="1" fillId="0" borderId="59" xfId="0" applyFont="1" applyBorder="1"/>
    <xf numFmtId="168" fontId="1" fillId="0" borderId="50" xfId="0" applyNumberFormat="1" applyFont="1" applyBorder="1"/>
    <xf numFmtId="168" fontId="1" fillId="0" borderId="58" xfId="0" applyNumberFormat="1" applyFont="1" applyBorder="1"/>
    <xf numFmtId="168" fontId="1" fillId="0" borderId="51" xfId="0" applyNumberFormat="1" applyFont="1" applyBorder="1"/>
    <xf numFmtId="0" fontId="0" fillId="11" borderId="0" xfId="0" applyFill="1"/>
    <xf numFmtId="1" fontId="0" fillId="11" borderId="0" xfId="0" applyNumberFormat="1" applyFill="1"/>
    <xf numFmtId="8" fontId="0" fillId="11" borderId="0" xfId="0" applyNumberFormat="1" applyFill="1"/>
    <xf numFmtId="0" fontId="7" fillId="11" borderId="0" xfId="0" applyFont="1" applyFill="1"/>
    <xf numFmtId="0" fontId="25" fillId="11" borderId="0" xfId="0" applyFont="1" applyFill="1"/>
    <xf numFmtId="0" fontId="24" fillId="12" borderId="60" xfId="0" applyFont="1" applyFill="1" applyBorder="1"/>
    <xf numFmtId="0" fontId="0" fillId="11" borderId="60" xfId="0" applyFill="1" applyBorder="1"/>
    <xf numFmtId="1" fontId="0" fillId="11" borderId="60" xfId="0" applyNumberFormat="1" applyFill="1" applyBorder="1"/>
    <xf numFmtId="0" fontId="0" fillId="11" borderId="62" xfId="0" applyFill="1" applyBorder="1"/>
    <xf numFmtId="1" fontId="0" fillId="11" borderId="62" xfId="0" applyNumberFormat="1" applyFill="1" applyBorder="1"/>
    <xf numFmtId="8" fontId="0" fillId="11" borderId="62" xfId="0" applyNumberFormat="1" applyFill="1" applyBorder="1"/>
    <xf numFmtId="0" fontId="1" fillId="11" borderId="61" xfId="0" applyFont="1" applyFill="1" applyBorder="1"/>
    <xf numFmtId="168" fontId="1" fillId="11" borderId="61" xfId="0" applyNumberFormat="1" applyFont="1" applyFill="1" applyBorder="1"/>
    <xf numFmtId="8" fontId="1" fillId="11" borderId="61" xfId="0" applyNumberFormat="1" applyFont="1" applyFill="1" applyBorder="1"/>
    <xf numFmtId="0" fontId="27" fillId="12" borderId="60" xfId="0" applyFont="1" applyFill="1" applyBorder="1" applyAlignment="1">
      <alignment horizontal="center" wrapText="1"/>
    </xf>
    <xf numFmtId="0" fontId="26" fillId="11" borderId="0" xfId="0" applyFont="1" applyFill="1"/>
    <xf numFmtId="0" fontId="26" fillId="11" borderId="60" xfId="0" applyFont="1" applyFill="1" applyBorder="1"/>
    <xf numFmtId="0" fontId="27" fillId="13" borderId="60" xfId="0" applyFont="1" applyFill="1" applyBorder="1" applyAlignment="1">
      <alignment horizontal="center"/>
    </xf>
    <xf numFmtId="0" fontId="27" fillId="13" borderId="60" xfId="0" applyFont="1" applyFill="1" applyBorder="1" applyAlignment="1">
      <alignment horizontal="center" wrapText="1"/>
    </xf>
    <xf numFmtId="6" fontId="26" fillId="11" borderId="0" xfId="0" applyNumberFormat="1" applyFont="1" applyFill="1"/>
    <xf numFmtId="6" fontId="0" fillId="11" borderId="0" xfId="0" applyNumberFormat="1" applyFill="1"/>
    <xf numFmtId="3" fontId="26" fillId="11" borderId="60" xfId="0" applyNumberFormat="1" applyFont="1" applyFill="1" applyBorder="1"/>
    <xf numFmtId="6" fontId="0" fillId="13" borderId="0" xfId="0" applyNumberFormat="1" applyFill="1"/>
    <xf numFmtId="0" fontId="28" fillId="11" borderId="0" xfId="0" applyFont="1" applyFill="1"/>
    <xf numFmtId="0" fontId="26" fillId="11" borderId="62" xfId="0" applyFont="1" applyFill="1" applyBorder="1"/>
    <xf numFmtId="3" fontId="26" fillId="11" borderId="62" xfId="0" applyNumberFormat="1" applyFont="1" applyFill="1" applyBorder="1"/>
    <xf numFmtId="9" fontId="0" fillId="11" borderId="0" xfId="0" applyNumberFormat="1" applyFill="1"/>
    <xf numFmtId="0" fontId="27" fillId="12" borderId="0" xfId="0" applyFont="1" applyFill="1" applyAlignment="1">
      <alignment horizontal="center"/>
    </xf>
    <xf numFmtId="3" fontId="26" fillId="11" borderId="0" xfId="0" applyNumberFormat="1" applyFont="1" applyFill="1"/>
    <xf numFmtId="42" fontId="26" fillId="11" borderId="60" xfId="0" applyNumberFormat="1" applyFont="1" applyFill="1" applyBorder="1"/>
    <xf numFmtId="44" fontId="26" fillId="11" borderId="67" xfId="0" applyNumberFormat="1" applyFont="1" applyFill="1" applyBorder="1"/>
    <xf numFmtId="0" fontId="27" fillId="13" borderId="0" xfId="0" applyFont="1" applyFill="1" applyAlignment="1">
      <alignment horizontal="center" wrapText="1"/>
    </xf>
    <xf numFmtId="0" fontId="0" fillId="11" borderId="0" xfId="0" applyFill="1" applyAlignment="1">
      <alignment horizontal="left" vertical="top" wrapText="1"/>
    </xf>
    <xf numFmtId="0" fontId="30" fillId="0" borderId="0" xfId="4" applyFont="1"/>
    <xf numFmtId="0" fontId="29" fillId="0" borderId="0" xfId="4"/>
    <xf numFmtId="0" fontId="31" fillId="0" borderId="0" xfId="4" applyFont="1"/>
    <xf numFmtId="0" fontId="32" fillId="0" borderId="0" xfId="4" applyFont="1" applyAlignment="1">
      <alignment horizontal="center"/>
    </xf>
    <xf numFmtId="0" fontId="32" fillId="0" borderId="49" xfId="4" applyFont="1" applyBorder="1" applyAlignment="1">
      <alignment horizontal="center" vertical="center"/>
    </xf>
    <xf numFmtId="0" fontId="29" fillId="0" borderId="4" xfId="4" applyBorder="1" applyAlignment="1">
      <alignment wrapText="1"/>
    </xf>
    <xf numFmtId="0" fontId="29" fillId="0" borderId="5" xfId="4" applyBorder="1" applyAlignment="1">
      <alignment wrapText="1"/>
    </xf>
    <xf numFmtId="0" fontId="29" fillId="0" borderId="35" xfId="4" applyBorder="1" applyAlignment="1">
      <alignment wrapText="1"/>
    </xf>
    <xf numFmtId="0" fontId="29" fillId="0" borderId="6" xfId="4" applyBorder="1" applyAlignment="1">
      <alignment wrapText="1"/>
    </xf>
    <xf numFmtId="0" fontId="29" fillId="0" borderId="27" xfId="4" applyBorder="1" applyAlignment="1">
      <alignment wrapText="1"/>
    </xf>
    <xf numFmtId="0" fontId="29" fillId="0" borderId="4" xfId="4" applyBorder="1"/>
    <xf numFmtId="0" fontId="29" fillId="0" borderId="5" xfId="4" applyBorder="1"/>
    <xf numFmtId="0" fontId="29" fillId="0" borderId="35" xfId="4" applyBorder="1"/>
    <xf numFmtId="0" fontId="29" fillId="0" borderId="6" xfId="4" applyBorder="1"/>
    <xf numFmtId="0" fontId="29" fillId="6" borderId="1" xfId="4" applyFill="1" applyBorder="1"/>
    <xf numFmtId="0" fontId="29" fillId="6" borderId="2" xfId="4" applyFill="1" applyBorder="1"/>
    <xf numFmtId="0" fontId="29" fillId="6" borderId="3" xfId="4" applyFill="1" applyBorder="1"/>
    <xf numFmtId="0" fontId="29" fillId="0" borderId="0" xfId="4" applyAlignment="1">
      <alignment horizontal="center"/>
    </xf>
    <xf numFmtId="0" fontId="29" fillId="0" borderId="72" xfId="4" applyBorder="1" applyAlignment="1">
      <alignment horizontal="center"/>
    </xf>
    <xf numFmtId="0" fontId="29" fillId="0" borderId="7" xfId="4" applyBorder="1" applyAlignment="1">
      <alignment horizontal="center" wrapText="1"/>
    </xf>
    <xf numFmtId="0" fontId="29" fillId="0" borderId="8" xfId="4" applyBorder="1" applyAlignment="1">
      <alignment horizontal="center" wrapText="1"/>
    </xf>
    <xf numFmtId="0" fontId="29" fillId="0" borderId="36" xfId="4" applyBorder="1" applyAlignment="1">
      <alignment horizontal="center" wrapText="1"/>
    </xf>
    <xf numFmtId="0" fontId="29" fillId="0" borderId="9" xfId="4" applyBorder="1" applyAlignment="1">
      <alignment horizontal="center" wrapText="1"/>
    </xf>
    <xf numFmtId="0" fontId="29" fillId="0" borderId="27" xfId="4" applyBorder="1" applyAlignment="1">
      <alignment horizontal="center" wrapText="1"/>
    </xf>
    <xf numFmtId="0" fontId="29" fillId="6" borderId="7" xfId="4" applyFill="1" applyBorder="1" applyAlignment="1">
      <alignment horizontal="center" wrapText="1"/>
    </xf>
    <xf numFmtId="0" fontId="29" fillId="6" borderId="8" xfId="4" applyFill="1" applyBorder="1" applyAlignment="1">
      <alignment horizontal="center" wrapText="1"/>
    </xf>
    <xf numFmtId="0" fontId="29" fillId="6" borderId="9" xfId="4" applyFill="1" applyBorder="1" applyAlignment="1">
      <alignment horizontal="center" wrapText="1"/>
    </xf>
    <xf numFmtId="0" fontId="33" fillId="0" borderId="0" xfId="4" applyFont="1"/>
    <xf numFmtId="0" fontId="29" fillId="6" borderId="0" xfId="4" applyFill="1"/>
    <xf numFmtId="14" fontId="29" fillId="0" borderId="0" xfId="4" applyNumberFormat="1"/>
    <xf numFmtId="171" fontId="0" fillId="0" borderId="73" xfId="5" applyNumberFormat="1" applyFont="1" applyFill="1" applyBorder="1"/>
    <xf numFmtId="171" fontId="0" fillId="0" borderId="19" xfId="5" applyNumberFormat="1" applyFont="1" applyFill="1" applyBorder="1"/>
    <xf numFmtId="171" fontId="0" fillId="0" borderId="20" xfId="5" applyNumberFormat="1" applyFont="1" applyFill="1" applyBorder="1"/>
    <xf numFmtId="171" fontId="0" fillId="0" borderId="22" xfId="5" applyNumberFormat="1" applyFont="1" applyFill="1" applyBorder="1"/>
    <xf numFmtId="171" fontId="0" fillId="0" borderId="0" xfId="5" applyNumberFormat="1" applyFont="1" applyFill="1" applyBorder="1"/>
    <xf numFmtId="171" fontId="29" fillId="6" borderId="19" xfId="4" applyNumberFormat="1" applyFill="1" applyBorder="1"/>
    <xf numFmtId="171" fontId="29" fillId="6" borderId="20" xfId="4" applyNumberFormat="1" applyFill="1" applyBorder="1"/>
    <xf numFmtId="171" fontId="29" fillId="6" borderId="22" xfId="4" applyNumberFormat="1" applyFill="1" applyBorder="1"/>
    <xf numFmtId="171" fontId="0" fillId="0" borderId="74" xfId="5" applyNumberFormat="1" applyFont="1" applyFill="1" applyBorder="1"/>
    <xf numFmtId="171" fontId="0" fillId="0" borderId="54" xfId="5" applyNumberFormat="1" applyFont="1" applyFill="1" applyBorder="1"/>
    <xf numFmtId="171" fontId="0" fillId="0" borderId="75" xfId="5" applyNumberFormat="1" applyFont="1" applyFill="1" applyBorder="1"/>
    <xf numFmtId="171" fontId="29" fillId="6" borderId="54" xfId="4" applyNumberFormat="1" applyFill="1" applyBorder="1"/>
    <xf numFmtId="171" fontId="29" fillId="6" borderId="0" xfId="4" applyNumberFormat="1" applyFill="1"/>
    <xf numFmtId="171" fontId="29" fillId="6" borderId="75" xfId="4" applyNumberFormat="1" applyFill="1" applyBorder="1"/>
    <xf numFmtId="3" fontId="29" fillId="0" borderId="0" xfId="4" applyNumberFormat="1"/>
    <xf numFmtId="171" fontId="0" fillId="0" borderId="72" xfId="5" applyNumberFormat="1" applyFont="1" applyFill="1" applyBorder="1"/>
    <xf numFmtId="171" fontId="0" fillId="0" borderId="76" xfId="5" applyNumberFormat="1" applyFont="1" applyFill="1" applyBorder="1"/>
    <xf numFmtId="171" fontId="0" fillId="0" borderId="77" xfId="5" applyNumberFormat="1" applyFont="1" applyFill="1" applyBorder="1"/>
    <xf numFmtId="171" fontId="0" fillId="0" borderId="78" xfId="5" applyNumberFormat="1" applyFont="1" applyFill="1" applyBorder="1"/>
    <xf numFmtId="3" fontId="29" fillId="0" borderId="77" xfId="4" applyNumberFormat="1" applyBorder="1"/>
    <xf numFmtId="171" fontId="29" fillId="6" borderId="76" xfId="4" applyNumberFormat="1" applyFill="1" applyBorder="1"/>
    <xf numFmtId="171" fontId="29" fillId="6" borderId="77" xfId="4" applyNumberFormat="1" applyFill="1" applyBorder="1"/>
    <xf numFmtId="171" fontId="29" fillId="6" borderId="78" xfId="4" applyNumberFormat="1" applyFill="1" applyBorder="1"/>
    <xf numFmtId="171" fontId="29" fillId="0" borderId="0" xfId="4" applyNumberFormat="1"/>
    <xf numFmtId="171" fontId="33" fillId="0" borderId="0" xfId="4" applyNumberFormat="1" applyFont="1"/>
    <xf numFmtId="44" fontId="0" fillId="11" borderId="0" xfId="0" applyNumberFormat="1" applyFill="1"/>
    <xf numFmtId="0" fontId="26" fillId="11" borderId="80" xfId="0" applyFont="1" applyFill="1" applyBorder="1"/>
    <xf numFmtId="3" fontId="26" fillId="11" borderId="63" xfId="0" applyNumberFormat="1" applyFont="1" applyFill="1" applyBorder="1"/>
    <xf numFmtId="42" fontId="26" fillId="11" borderId="63" xfId="0" applyNumberFormat="1" applyFont="1" applyFill="1" applyBorder="1"/>
    <xf numFmtId="0" fontId="26" fillId="11" borderId="79" xfId="0" applyFont="1" applyFill="1" applyBorder="1"/>
    <xf numFmtId="3" fontId="26" fillId="11" borderId="81" xfId="0" applyNumberFormat="1" applyFont="1" applyFill="1" applyBorder="1"/>
    <xf numFmtId="42" fontId="26" fillId="11" borderId="81" xfId="0" applyNumberFormat="1" applyFont="1" applyFill="1" applyBorder="1"/>
    <xf numFmtId="44" fontId="26" fillId="11" borderId="0" xfId="0" applyNumberFormat="1" applyFont="1" applyFill="1"/>
    <xf numFmtId="44" fontId="35" fillId="11" borderId="63" xfId="0" applyNumberFormat="1" applyFont="1" applyFill="1" applyBorder="1"/>
    <xf numFmtId="0" fontId="24" fillId="12" borderId="82" xfId="0" applyFont="1" applyFill="1" applyBorder="1"/>
    <xf numFmtId="0" fontId="0" fillId="0" borderId="82" xfId="0" applyBorder="1"/>
    <xf numFmtId="0" fontId="0" fillId="11" borderId="82" xfId="0" applyFill="1" applyBorder="1"/>
    <xf numFmtId="1" fontId="0" fillId="11" borderId="82" xfId="0" applyNumberFormat="1" applyFill="1" applyBorder="1"/>
    <xf numFmtId="168" fontId="0" fillId="11" borderId="82" xfId="0" applyNumberFormat="1" applyFill="1" applyBorder="1"/>
    <xf numFmtId="42" fontId="26" fillId="11" borderId="67" xfId="0" applyNumberFormat="1" applyFont="1" applyFill="1" applyBorder="1"/>
    <xf numFmtId="42" fontId="35" fillId="11" borderId="63" xfId="0" applyNumberFormat="1" applyFont="1" applyFill="1" applyBorder="1"/>
    <xf numFmtId="42" fontId="0" fillId="11" borderId="82" xfId="0" applyNumberFormat="1" applyFill="1" applyBorder="1"/>
    <xf numFmtId="42" fontId="0" fillId="11" borderId="60" xfId="0" applyNumberFormat="1" applyFill="1" applyBorder="1"/>
    <xf numFmtId="0" fontId="27" fillId="14" borderId="60" xfId="0" applyFont="1" applyFill="1" applyBorder="1" applyAlignment="1">
      <alignment horizontal="center"/>
    </xf>
    <xf numFmtId="0" fontId="27" fillId="14" borderId="80" xfId="0" applyFont="1" applyFill="1" applyBorder="1" applyAlignment="1">
      <alignment horizontal="center"/>
    </xf>
    <xf numFmtId="3" fontId="26" fillId="11" borderId="83" xfId="0" applyNumberFormat="1" applyFont="1" applyFill="1" applyBorder="1"/>
    <xf numFmtId="0" fontId="24" fillId="9" borderId="82" xfId="0" applyFont="1" applyFill="1" applyBorder="1"/>
    <xf numFmtId="0" fontId="0" fillId="11" borderId="0" xfId="0" applyFill="1" applyAlignment="1">
      <alignment horizontal="left" vertical="top" wrapText="1"/>
    </xf>
    <xf numFmtId="0" fontId="29" fillId="0" borderId="13" xfId="4" applyBorder="1" applyAlignment="1">
      <alignment horizontal="center"/>
    </xf>
    <xf numFmtId="0" fontId="29" fillId="0" borderId="14" xfId="4" applyBorder="1" applyAlignment="1">
      <alignment horizontal="center"/>
    </xf>
    <xf numFmtId="0" fontId="29" fillId="0" borderId="15" xfId="4" applyBorder="1" applyAlignment="1">
      <alignment horizontal="center"/>
    </xf>
    <xf numFmtId="0" fontId="29" fillId="6" borderId="19" xfId="4" applyFill="1" applyBorder="1" applyAlignment="1">
      <alignment horizontal="center"/>
    </xf>
    <xf numFmtId="0" fontId="29" fillId="6" borderId="20" xfId="4" applyFill="1" applyBorder="1" applyAlignment="1">
      <alignment horizontal="center"/>
    </xf>
    <xf numFmtId="0" fontId="29" fillId="6" borderId="22" xfId="4" applyFill="1" applyBorder="1" applyAlignment="1">
      <alignment horizontal="center"/>
    </xf>
    <xf numFmtId="0" fontId="34" fillId="0" borderId="0" xfId="4" applyFont="1" applyAlignment="1">
      <alignment horizontal="center" textRotation="90"/>
    </xf>
    <xf numFmtId="0" fontId="29" fillId="0" borderId="1" xfId="4" applyBorder="1" applyAlignment="1">
      <alignment horizontal="center" wrapText="1"/>
    </xf>
    <xf numFmtId="0" fontId="29" fillId="0" borderId="2" xfId="4" applyBorder="1" applyAlignment="1">
      <alignment horizontal="center" wrapText="1"/>
    </xf>
    <xf numFmtId="0" fontId="29" fillId="0" borderId="52" xfId="4" applyBorder="1" applyAlignment="1">
      <alignment horizontal="center" wrapText="1"/>
    </xf>
    <xf numFmtId="0" fontId="29" fillId="0" borderId="3" xfId="4" applyBorder="1" applyAlignment="1">
      <alignment horizontal="center" wrapText="1"/>
    </xf>
    <xf numFmtId="0" fontId="29" fillId="0" borderId="13" xfId="4" applyBorder="1" applyAlignment="1">
      <alignment horizontal="center" wrapText="1"/>
    </xf>
    <xf numFmtId="0" fontId="29" fillId="0" borderId="14" xfId="4" applyBorder="1" applyAlignment="1">
      <alignment horizontal="center" wrapText="1"/>
    </xf>
    <xf numFmtId="0" fontId="29" fillId="0" borderId="15" xfId="4" applyBorder="1" applyAlignment="1">
      <alignment horizontal="center" wrapText="1"/>
    </xf>
    <xf numFmtId="0" fontId="29" fillId="0" borderId="1" xfId="4" applyBorder="1" applyAlignment="1">
      <alignment horizontal="center"/>
    </xf>
    <xf numFmtId="0" fontId="29" fillId="0" borderId="2" xfId="4" applyBorder="1" applyAlignment="1">
      <alignment horizontal="center"/>
    </xf>
    <xf numFmtId="0" fontId="29" fillId="0" borderId="52" xfId="4" applyBorder="1" applyAlignment="1">
      <alignment horizontal="center"/>
    </xf>
    <xf numFmtId="0" fontId="29" fillId="0" borderId="3" xfId="4" applyBorder="1" applyAlignment="1">
      <alignment horizontal="center"/>
    </xf>
    <xf numFmtId="0" fontId="26" fillId="11" borderId="84" xfId="0" applyFont="1" applyFill="1" applyBorder="1" applyAlignment="1">
      <alignment horizontal="left"/>
    </xf>
    <xf numFmtId="0" fontId="26" fillId="11" borderId="85" xfId="0" applyFont="1" applyFill="1" applyBorder="1" applyAlignment="1">
      <alignment horizontal="left"/>
    </xf>
    <xf numFmtId="0" fontId="35" fillId="11" borderId="86" xfId="0" applyFont="1" applyFill="1" applyBorder="1" applyAlignment="1">
      <alignment horizontal="left"/>
    </xf>
    <xf numFmtId="0" fontId="35" fillId="11" borderId="87" xfId="0" applyFont="1" applyFill="1" applyBorder="1" applyAlignment="1">
      <alignment horizontal="left"/>
    </xf>
    <xf numFmtId="0" fontId="27" fillId="12" borderId="64" xfId="0" applyFont="1" applyFill="1" applyBorder="1" applyAlignment="1">
      <alignment horizontal="center"/>
    </xf>
    <xf numFmtId="0" fontId="27" fillId="12" borderId="65" xfId="0" applyFont="1" applyFill="1" applyBorder="1" applyAlignment="1">
      <alignment horizontal="center"/>
    </xf>
    <xf numFmtId="0" fontId="27" fillId="12" borderId="66" xfId="0" applyFont="1" applyFill="1" applyBorder="1" applyAlignment="1">
      <alignment horizontal="center"/>
    </xf>
    <xf numFmtId="3" fontId="27" fillId="14" borderId="63" xfId="0" applyNumberFormat="1" applyFont="1" applyFill="1" applyBorder="1" applyAlignment="1">
      <alignment horizontal="center" wrapText="1"/>
    </xf>
    <xf numFmtId="0" fontId="27" fillId="9" borderId="63" xfId="0" applyFont="1" applyFill="1" applyBorder="1" applyAlignment="1">
      <alignment horizontal="center"/>
    </xf>
    <xf numFmtId="3" fontId="27" fillId="14" borderId="70" xfId="0" applyNumberFormat="1" applyFont="1" applyFill="1" applyBorder="1" applyAlignment="1">
      <alignment horizontal="center" wrapText="1"/>
    </xf>
    <xf numFmtId="3" fontId="27" fillId="14" borderId="71" xfId="0" applyNumberFormat="1" applyFont="1" applyFill="1" applyBorder="1" applyAlignment="1">
      <alignment horizontal="center" wrapText="1"/>
    </xf>
    <xf numFmtId="3" fontId="27" fillId="14" borderId="68" xfId="0" applyNumberFormat="1" applyFont="1" applyFill="1" applyBorder="1" applyAlignment="1">
      <alignment horizontal="center" wrapText="1"/>
    </xf>
    <xf numFmtId="3" fontId="27" fillId="14" borderId="69" xfId="0" applyNumberFormat="1" applyFont="1" applyFill="1" applyBorder="1" applyAlignment="1">
      <alignment horizontal="center" wrapText="1"/>
    </xf>
    <xf numFmtId="0" fontId="27" fillId="9" borderId="63" xfId="0" applyFont="1" applyFill="1" applyBorder="1" applyAlignment="1">
      <alignment horizontal="center" wrapText="1"/>
    </xf>
    <xf numFmtId="0" fontId="27" fillId="12" borderId="60" xfId="0" applyFont="1" applyFill="1" applyBorder="1" applyAlignment="1">
      <alignment horizontal="center"/>
    </xf>
    <xf numFmtId="0" fontId="27" fillId="9" borderId="60" xfId="0" applyFont="1" applyFill="1" applyBorder="1" applyAlignment="1">
      <alignment horizontal="center"/>
    </xf>
    <xf numFmtId="0" fontId="27" fillId="9" borderId="80" xfId="0" applyFont="1" applyFill="1" applyBorder="1" applyAlignment="1">
      <alignment horizontal="center"/>
    </xf>
    <xf numFmtId="0" fontId="27" fillId="9" borderId="64" xfId="0" applyFont="1" applyFill="1" applyBorder="1" applyAlignment="1">
      <alignment horizontal="center"/>
    </xf>
    <xf numFmtId="0" fontId="10" fillId="2" borderId="13" xfId="0" applyFont="1" applyFill="1" applyBorder="1" applyAlignment="1">
      <alignment horizontal="center"/>
    </xf>
    <xf numFmtId="0" fontId="10" fillId="2" borderId="14" xfId="0" applyFont="1" applyFill="1" applyBorder="1" applyAlignment="1">
      <alignment horizontal="center"/>
    </xf>
    <xf numFmtId="0" fontId="10" fillId="2" borderId="1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5" xfId="0" applyBorder="1" applyAlignment="1">
      <alignment horizontal="center" wrapText="1"/>
    </xf>
    <xf numFmtId="0" fontId="1" fillId="0" borderId="5" xfId="0" applyFont="1" applyBorder="1" applyAlignment="1">
      <alignment horizontal="center"/>
    </xf>
    <xf numFmtId="0" fontId="0" fillId="0" borderId="5" xfId="0" applyBorder="1" applyAlignment="1">
      <alignment horizontal="center" vertical="center" wrapText="1"/>
    </xf>
    <xf numFmtId="0" fontId="0" fillId="0" borderId="5" xfId="0" applyBorder="1" applyAlignment="1">
      <alignment horizontal="left" wrapText="1"/>
    </xf>
    <xf numFmtId="0" fontId="0" fillId="0" borderId="5" xfId="0" applyBorder="1" applyAlignment="1">
      <alignment horizont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5" fillId="0" borderId="11" xfId="0" applyFont="1" applyBorder="1" applyAlignment="1">
      <alignment horizontal="right" vertical="center" wrapText="1"/>
    </xf>
    <xf numFmtId="0" fontId="1" fillId="0" borderId="19" xfId="0" applyFont="1" applyBorder="1" applyAlignment="1">
      <alignment horizontal="center"/>
    </xf>
    <xf numFmtId="0" fontId="1" fillId="0" borderId="20" xfId="0" applyFont="1" applyBorder="1" applyAlignment="1">
      <alignment horizontal="center"/>
    </xf>
    <xf numFmtId="0" fontId="1" fillId="0" borderId="22" xfId="0" applyFont="1" applyBorder="1" applyAlignment="1">
      <alignment horizontal="center"/>
    </xf>
    <xf numFmtId="0" fontId="13" fillId="0" borderId="4" xfId="0" applyFont="1" applyBorder="1" applyAlignment="1">
      <alignment horizontal="center" vertical="center" wrapText="1"/>
    </xf>
    <xf numFmtId="0" fontId="13" fillId="0" borderId="4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0" fillId="0" borderId="26" xfId="0" applyBorder="1" applyAlignment="1">
      <alignment horizontal="right"/>
    </xf>
    <xf numFmtId="0" fontId="0" fillId="0" borderId="27" xfId="0"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0" xfId="0" applyBorder="1" applyAlignment="1">
      <alignment horizontal="right"/>
    </xf>
    <xf numFmtId="0" fontId="0" fillId="0" borderId="31" xfId="0" applyBorder="1" applyAlignment="1">
      <alignment horizontal="right"/>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7" fontId="0" fillId="0" borderId="4" xfId="0" applyNumberFormat="1" applyBorder="1" applyAlignment="1">
      <alignment horizontal="center"/>
    </xf>
    <xf numFmtId="167" fontId="0" fillId="0" borderId="5" xfId="0" applyNumberFormat="1" applyBorder="1" applyAlignment="1">
      <alignment horizontal="center"/>
    </xf>
    <xf numFmtId="167" fontId="0" fillId="0" borderId="6" xfId="0" applyNumberForma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right"/>
    </xf>
    <xf numFmtId="0" fontId="0" fillId="0" borderId="5"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0" fillId="0" borderId="0" xfId="0" applyAlignment="1">
      <alignment horizontal="left" vertical="top" wrapText="1"/>
    </xf>
    <xf numFmtId="0" fontId="0" fillId="0" borderId="0" xfId="0" applyAlignment="1">
      <alignment horizontal="left" wrapText="1"/>
    </xf>
    <xf numFmtId="0" fontId="0" fillId="0" borderId="47" xfId="0" applyBorder="1" applyAlignment="1">
      <alignment horizontal="center"/>
    </xf>
    <xf numFmtId="0" fontId="0" fillId="5" borderId="5" xfId="0" applyFill="1" applyBorder="1" applyAlignment="1">
      <alignment horizontal="center"/>
    </xf>
    <xf numFmtId="0" fontId="1" fillId="0" borderId="53" xfId="0" applyFont="1" applyBorder="1" applyAlignment="1">
      <alignment horizontal="center"/>
    </xf>
    <xf numFmtId="0" fontId="1" fillId="0" borderId="52" xfId="0" applyFont="1" applyBorder="1" applyAlignment="1">
      <alignment horizontal="center"/>
    </xf>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Light16"/>
  <colors>
    <mruColors>
      <color rgb="FF006671"/>
      <color rgb="FF58C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Electric System Incremental</a:t>
            </a:r>
            <a:r>
              <a:rPr lang="en-US" sz="1800" b="1" baseline="0"/>
              <a:t> Cost per Year</a:t>
            </a:r>
            <a:endParaRPr lang="en-US"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Carbon Out</c:v>
          </c:tx>
          <c:spPr>
            <a:ln w="28575" cap="rnd">
              <a:solidFill>
                <a:schemeClr val="accent1"/>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Growth'!$C$43:$W$43</c:f>
              <c:numCache>
                <c:formatCode>"$"#,##0</c:formatCode>
                <c:ptCount val="21"/>
                <c:pt idx="0">
                  <c:v>1238060.8346359225</c:v>
                </c:pt>
                <c:pt idx="1">
                  <c:v>2616055.1821304346</c:v>
                </c:pt>
                <c:pt idx="2">
                  <c:v>3897051.2772381627</c:v>
                </c:pt>
                <c:pt idx="3">
                  <c:v>5109780.9058079273</c:v>
                </c:pt>
                <c:pt idx="4">
                  <c:v>6143153.6320504118</c:v>
                </c:pt>
                <c:pt idx="5">
                  <c:v>6995898.1681371424</c:v>
                </c:pt>
                <c:pt idx="6">
                  <c:v>16051090.887200948</c:v>
                </c:pt>
                <c:pt idx="7">
                  <c:v>17421158.461325526</c:v>
                </c:pt>
                <c:pt idx="8">
                  <c:v>18736524.863563195</c:v>
                </c:pt>
                <c:pt idx="9">
                  <c:v>20256610.18099067</c:v>
                </c:pt>
                <c:pt idx="10">
                  <c:v>58547221.010441959</c:v>
                </c:pt>
                <c:pt idx="11">
                  <c:v>61259898.345103115</c:v>
                </c:pt>
                <c:pt idx="12">
                  <c:v>63250786.667877384</c:v>
                </c:pt>
                <c:pt idx="13">
                  <c:v>65214962.96296113</c:v>
                </c:pt>
                <c:pt idx="14">
                  <c:v>66429396.156158969</c:v>
                </c:pt>
                <c:pt idx="15">
                  <c:v>67473777.984311521</c:v>
                </c:pt>
                <c:pt idx="16">
                  <c:v>67837554.138703734</c:v>
                </c:pt>
                <c:pt idx="17">
                  <c:v>68454770.991274118</c:v>
                </c:pt>
                <c:pt idx="18">
                  <c:v>68733411.287893116</c:v>
                </c:pt>
                <c:pt idx="19">
                  <c:v>69869934.212616354</c:v>
                </c:pt>
                <c:pt idx="20">
                  <c:v>69462901.849578246</c:v>
                </c:pt>
              </c:numCache>
            </c:numRef>
          </c:val>
          <c:smooth val="0"/>
          <c:extLst>
            <c:ext xmlns:c16="http://schemas.microsoft.com/office/drawing/2014/chart" uri="{C3380CC4-5D6E-409C-BE32-E72D297353CC}">
              <c16:uniqueId val="{00000000-69D5-4A0A-955A-BD8125FC82F4}"/>
            </c:ext>
          </c:extLst>
        </c:ser>
        <c:ser>
          <c:idx val="1"/>
          <c:order val="1"/>
          <c:tx>
            <c:v>Carbon Out + Add'l Electrification</c:v>
          </c:tx>
          <c:spPr>
            <a:ln w="28575" cap="rnd">
              <a:solidFill>
                <a:schemeClr val="accent2"/>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Growth'!$C$54:$W$54</c:f>
              <c:numCache>
                <c:formatCode>"$"#,##0</c:formatCode>
                <c:ptCount val="21"/>
                <c:pt idx="0">
                  <c:v>9087047.9421776384</c:v>
                </c:pt>
                <c:pt idx="1">
                  <c:v>18491860.380825721</c:v>
                </c:pt>
                <c:pt idx="2">
                  <c:v>26418819.051238284</c:v>
                </c:pt>
                <c:pt idx="3">
                  <c:v>33972755.383170724</c:v>
                </c:pt>
                <c:pt idx="4">
                  <c:v>41123175.651332721</c:v>
                </c:pt>
                <c:pt idx="5">
                  <c:v>47906341.591254905</c:v>
                </c:pt>
                <c:pt idx="6">
                  <c:v>69278898.147800684</c:v>
                </c:pt>
                <c:pt idx="7">
                  <c:v>77599569.471138</c:v>
                </c:pt>
                <c:pt idx="8">
                  <c:v>85890499.532536358</c:v>
                </c:pt>
                <c:pt idx="9">
                  <c:v>94449222.388735771</c:v>
                </c:pt>
                <c:pt idx="10">
                  <c:v>143735189.20183304</c:v>
                </c:pt>
                <c:pt idx="11">
                  <c:v>154742717.98985478</c:v>
                </c:pt>
                <c:pt idx="12">
                  <c:v>161364682.79601264</c:v>
                </c:pt>
                <c:pt idx="13">
                  <c:v>168438324.40506229</c:v>
                </c:pt>
                <c:pt idx="14">
                  <c:v>174946181.22945976</c:v>
                </c:pt>
                <c:pt idx="15">
                  <c:v>185205304.99719197</c:v>
                </c:pt>
                <c:pt idx="16">
                  <c:v>197149447.95306027</c:v>
                </c:pt>
                <c:pt idx="17">
                  <c:v>212180892.83387062</c:v>
                </c:pt>
                <c:pt idx="18">
                  <c:v>222642424.95502257</c:v>
                </c:pt>
                <c:pt idx="19">
                  <c:v>231171871.22324169</c:v>
                </c:pt>
                <c:pt idx="20">
                  <c:v>227204772.87517935</c:v>
                </c:pt>
              </c:numCache>
            </c:numRef>
          </c:val>
          <c:smooth val="0"/>
          <c:extLst>
            <c:ext xmlns:c16="http://schemas.microsoft.com/office/drawing/2014/chart" uri="{C3380CC4-5D6E-409C-BE32-E72D297353CC}">
              <c16:uniqueId val="{00000001-69D5-4A0A-955A-BD8125FC82F4}"/>
            </c:ext>
          </c:extLst>
        </c:ser>
        <c:ser>
          <c:idx val="2"/>
          <c:order val="2"/>
          <c:tx>
            <c:v>High Electrification</c:v>
          </c:tx>
          <c:spPr>
            <a:ln w="28575" cap="rnd">
              <a:solidFill>
                <a:schemeClr val="accent3"/>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Growth'!$C$65:$W$65</c:f>
              <c:numCache>
                <c:formatCode>"$"#,##0</c:formatCode>
                <c:ptCount val="21"/>
                <c:pt idx="0">
                  <c:v>19766509.750948388</c:v>
                </c:pt>
                <c:pt idx="1">
                  <c:v>40052301.743890047</c:v>
                </c:pt>
                <c:pt idx="2">
                  <c:v>56696274.111150146</c:v>
                </c:pt>
                <c:pt idx="3">
                  <c:v>72539058.961202875</c:v>
                </c:pt>
                <c:pt idx="4">
                  <c:v>87952027.094816148</c:v>
                </c:pt>
                <c:pt idx="5">
                  <c:v>102993828.33799241</c:v>
                </c:pt>
                <c:pt idx="6">
                  <c:v>170590808.66673729</c:v>
                </c:pt>
                <c:pt idx="7">
                  <c:v>192036296.89146787</c:v>
                </c:pt>
                <c:pt idx="8">
                  <c:v>213521530.2774083</c:v>
                </c:pt>
                <c:pt idx="9">
                  <c:v>235257461.01967418</c:v>
                </c:pt>
                <c:pt idx="10">
                  <c:v>352669175.160824</c:v>
                </c:pt>
                <c:pt idx="11">
                  <c:v>366199995.7926591</c:v>
                </c:pt>
                <c:pt idx="12">
                  <c:v>368346210.94875246</c:v>
                </c:pt>
                <c:pt idx="13">
                  <c:v>372074050.43863255</c:v>
                </c:pt>
                <c:pt idx="14">
                  <c:v>375394077.79822886</c:v>
                </c:pt>
                <c:pt idx="15">
                  <c:v>387622147.30284834</c:v>
                </c:pt>
                <c:pt idx="16">
                  <c:v>402183899.50493026</c:v>
                </c:pt>
                <c:pt idx="17">
                  <c:v>421639565.60712296</c:v>
                </c:pt>
                <c:pt idx="18">
                  <c:v>429753904.46401674</c:v>
                </c:pt>
                <c:pt idx="19">
                  <c:v>433649533.43334246</c:v>
                </c:pt>
                <c:pt idx="20">
                  <c:v>410061342.69335485</c:v>
                </c:pt>
              </c:numCache>
            </c:numRef>
          </c:val>
          <c:smooth val="0"/>
          <c:extLst>
            <c:ext xmlns:c16="http://schemas.microsoft.com/office/drawing/2014/chart" uri="{C3380CC4-5D6E-409C-BE32-E72D297353CC}">
              <c16:uniqueId val="{00000002-69D5-4A0A-955A-BD8125FC82F4}"/>
            </c:ext>
          </c:extLst>
        </c:ser>
        <c:dLbls>
          <c:showLegendKey val="0"/>
          <c:showVal val="0"/>
          <c:showCatName val="0"/>
          <c:showSerName val="0"/>
          <c:showPercent val="0"/>
          <c:showBubbleSize val="0"/>
        </c:dLbls>
        <c:smooth val="0"/>
        <c:axId val="531132032"/>
        <c:axId val="531129080"/>
      </c:lineChart>
      <c:catAx>
        <c:axId val="5311320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129080"/>
        <c:crosses val="autoZero"/>
        <c:auto val="1"/>
        <c:lblAlgn val="ctr"/>
        <c:lblOffset val="100"/>
        <c:noMultiLvlLbl val="0"/>
      </c:catAx>
      <c:valAx>
        <c:axId val="531129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Electric</a:t>
                </a:r>
                <a:r>
                  <a:rPr lang="en-US" baseline="0"/>
                  <a:t> System Cost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1320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Electric System Cumulative Incremental</a:t>
            </a:r>
            <a:r>
              <a:rPr lang="en-US" sz="1800" b="1" baseline="0"/>
              <a:t> Cost </a:t>
            </a:r>
            <a:endParaRPr lang="en-US"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Carbon Out</c:v>
          </c:tx>
          <c:spPr>
            <a:ln w="28575" cap="rnd">
              <a:solidFill>
                <a:schemeClr val="accent1"/>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Growth'!$C$44:$W$44</c:f>
              <c:numCache>
                <c:formatCode>"$"#,##0</c:formatCode>
                <c:ptCount val="21"/>
                <c:pt idx="0">
                  <c:v>1238060.8346359225</c:v>
                </c:pt>
                <c:pt idx="1">
                  <c:v>3854116.0167663572</c:v>
                </c:pt>
                <c:pt idx="2">
                  <c:v>7751167.2940045204</c:v>
                </c:pt>
                <c:pt idx="3">
                  <c:v>12860948.199812448</c:v>
                </c:pt>
                <c:pt idx="4">
                  <c:v>19004101.831862859</c:v>
                </c:pt>
                <c:pt idx="5">
                  <c:v>26000000</c:v>
                </c:pt>
                <c:pt idx="6">
                  <c:v>42051090.887200952</c:v>
                </c:pt>
                <c:pt idx="7">
                  <c:v>59472249.348526478</c:v>
                </c:pt>
                <c:pt idx="8">
                  <c:v>78208774.212089673</c:v>
                </c:pt>
                <c:pt idx="9">
                  <c:v>98465384.393080339</c:v>
                </c:pt>
                <c:pt idx="10">
                  <c:v>157012605.40352231</c:v>
                </c:pt>
                <c:pt idx="11">
                  <c:v>218272503.74862543</c:v>
                </c:pt>
                <c:pt idx="12">
                  <c:v>281523290.41650283</c:v>
                </c:pt>
                <c:pt idx="13">
                  <c:v>346738253.37946397</c:v>
                </c:pt>
                <c:pt idx="14">
                  <c:v>413167649.53562295</c:v>
                </c:pt>
                <c:pt idx="15">
                  <c:v>480641427.51993448</c:v>
                </c:pt>
                <c:pt idx="16">
                  <c:v>548478981.65863824</c:v>
                </c:pt>
                <c:pt idx="17">
                  <c:v>616933752.64991236</c:v>
                </c:pt>
                <c:pt idx="18">
                  <c:v>685667163.93780541</c:v>
                </c:pt>
                <c:pt idx="19">
                  <c:v>755537098.15042174</c:v>
                </c:pt>
                <c:pt idx="20">
                  <c:v>825000000</c:v>
                </c:pt>
              </c:numCache>
            </c:numRef>
          </c:val>
          <c:smooth val="0"/>
          <c:extLst>
            <c:ext xmlns:c16="http://schemas.microsoft.com/office/drawing/2014/chart" uri="{C3380CC4-5D6E-409C-BE32-E72D297353CC}">
              <c16:uniqueId val="{00000000-32FF-4BD3-853D-63D196479B0E}"/>
            </c:ext>
          </c:extLst>
        </c:ser>
        <c:ser>
          <c:idx val="1"/>
          <c:order val="1"/>
          <c:tx>
            <c:v>Carbon Out + Add'l Electrification</c:v>
          </c:tx>
          <c:spPr>
            <a:ln w="28575" cap="rnd">
              <a:solidFill>
                <a:schemeClr val="accent2"/>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Growth'!$C$55:$W$55</c:f>
              <c:numCache>
                <c:formatCode>"$"#,##0</c:formatCode>
                <c:ptCount val="21"/>
                <c:pt idx="0">
                  <c:v>9087047.9421776384</c:v>
                </c:pt>
                <c:pt idx="1">
                  <c:v>27578908.323003359</c:v>
                </c:pt>
                <c:pt idx="2">
                  <c:v>53997727.374241643</c:v>
                </c:pt>
                <c:pt idx="3">
                  <c:v>87970482.757412374</c:v>
                </c:pt>
                <c:pt idx="4">
                  <c:v>129093658.4087451</c:v>
                </c:pt>
                <c:pt idx="5">
                  <c:v>177000000</c:v>
                </c:pt>
                <c:pt idx="6">
                  <c:v>246278898.14780068</c:v>
                </c:pt>
                <c:pt idx="7">
                  <c:v>323878467.61893868</c:v>
                </c:pt>
                <c:pt idx="8">
                  <c:v>409768967.15147507</c:v>
                </c:pt>
                <c:pt idx="9">
                  <c:v>504218189.54021084</c:v>
                </c:pt>
                <c:pt idx="10">
                  <c:v>647953378.74204385</c:v>
                </c:pt>
                <c:pt idx="11">
                  <c:v>802696096.73189867</c:v>
                </c:pt>
                <c:pt idx="12">
                  <c:v>964060779.52791131</c:v>
                </c:pt>
                <c:pt idx="13">
                  <c:v>1132499103.9329736</c:v>
                </c:pt>
                <c:pt idx="14">
                  <c:v>1307445285.1624334</c:v>
                </c:pt>
                <c:pt idx="15">
                  <c:v>1492650590.1596253</c:v>
                </c:pt>
                <c:pt idx="16">
                  <c:v>1689800038.1126857</c:v>
                </c:pt>
                <c:pt idx="17">
                  <c:v>1901980930.9465563</c:v>
                </c:pt>
                <c:pt idx="18">
                  <c:v>2124623355.9015789</c:v>
                </c:pt>
                <c:pt idx="19">
                  <c:v>2355795227.1248207</c:v>
                </c:pt>
                <c:pt idx="20">
                  <c:v>2583000000</c:v>
                </c:pt>
              </c:numCache>
            </c:numRef>
          </c:val>
          <c:smooth val="0"/>
          <c:extLst>
            <c:ext xmlns:c16="http://schemas.microsoft.com/office/drawing/2014/chart" uri="{C3380CC4-5D6E-409C-BE32-E72D297353CC}">
              <c16:uniqueId val="{00000001-32FF-4BD3-853D-63D196479B0E}"/>
            </c:ext>
          </c:extLst>
        </c:ser>
        <c:ser>
          <c:idx val="2"/>
          <c:order val="2"/>
          <c:tx>
            <c:v>High Electrification</c:v>
          </c:tx>
          <c:spPr>
            <a:ln w="28575" cap="rnd">
              <a:solidFill>
                <a:schemeClr val="accent3"/>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Growth'!$C$66:$W$66</c:f>
              <c:numCache>
                <c:formatCode>"$"#,##0</c:formatCode>
                <c:ptCount val="21"/>
                <c:pt idx="0">
                  <c:v>19766509.750948388</c:v>
                </c:pt>
                <c:pt idx="1">
                  <c:v>59818811.494838431</c:v>
                </c:pt>
                <c:pt idx="2">
                  <c:v>116515085.60598858</c:v>
                </c:pt>
                <c:pt idx="3">
                  <c:v>189054144.56719145</c:v>
                </c:pt>
                <c:pt idx="4">
                  <c:v>277006171.66200757</c:v>
                </c:pt>
                <c:pt idx="5">
                  <c:v>380000000</c:v>
                </c:pt>
                <c:pt idx="6">
                  <c:v>550590808.66673732</c:v>
                </c:pt>
                <c:pt idx="7">
                  <c:v>742627105.55820513</c:v>
                </c:pt>
                <c:pt idx="8">
                  <c:v>956148635.83561349</c:v>
                </c:pt>
                <c:pt idx="9">
                  <c:v>1191406096.8552876</c:v>
                </c:pt>
                <c:pt idx="10">
                  <c:v>1544075272.0161116</c:v>
                </c:pt>
                <c:pt idx="11">
                  <c:v>1910275267.8087707</c:v>
                </c:pt>
                <c:pt idx="12">
                  <c:v>2278621478.7575231</c:v>
                </c:pt>
                <c:pt idx="13">
                  <c:v>2650695529.1961555</c:v>
                </c:pt>
                <c:pt idx="14">
                  <c:v>3026089606.9943843</c:v>
                </c:pt>
                <c:pt idx="15">
                  <c:v>3413711754.2972326</c:v>
                </c:pt>
                <c:pt idx="16">
                  <c:v>3815895653.8021631</c:v>
                </c:pt>
                <c:pt idx="17">
                  <c:v>4237535219.409286</c:v>
                </c:pt>
                <c:pt idx="18">
                  <c:v>4667289123.8733025</c:v>
                </c:pt>
                <c:pt idx="19">
                  <c:v>5100938657.3066444</c:v>
                </c:pt>
                <c:pt idx="20">
                  <c:v>5510999999.999999</c:v>
                </c:pt>
              </c:numCache>
            </c:numRef>
          </c:val>
          <c:smooth val="0"/>
          <c:extLst>
            <c:ext xmlns:c16="http://schemas.microsoft.com/office/drawing/2014/chart" uri="{C3380CC4-5D6E-409C-BE32-E72D297353CC}">
              <c16:uniqueId val="{00000002-32FF-4BD3-853D-63D196479B0E}"/>
            </c:ext>
          </c:extLst>
        </c:ser>
        <c:dLbls>
          <c:showLegendKey val="0"/>
          <c:showVal val="0"/>
          <c:showCatName val="0"/>
          <c:showSerName val="0"/>
          <c:showPercent val="0"/>
          <c:showBubbleSize val="0"/>
        </c:dLbls>
        <c:smooth val="0"/>
        <c:axId val="531132032"/>
        <c:axId val="531129080"/>
      </c:lineChart>
      <c:catAx>
        <c:axId val="5311320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129080"/>
        <c:crosses val="autoZero"/>
        <c:auto val="1"/>
        <c:lblAlgn val="ctr"/>
        <c:lblOffset val="100"/>
        <c:noMultiLvlLbl val="0"/>
      </c:catAx>
      <c:valAx>
        <c:axId val="531129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Electric</a:t>
                </a:r>
                <a:r>
                  <a:rPr lang="en-US" baseline="0"/>
                  <a:t> System Cost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1320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674593</xdr:colOff>
      <xdr:row>106</xdr:row>
      <xdr:rowOff>66115</xdr:rowOff>
    </xdr:from>
    <xdr:to>
      <xdr:col>11</xdr:col>
      <xdr:colOff>773206</xdr:colOff>
      <xdr:row>131</xdr:row>
      <xdr:rowOff>67235</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437029</xdr:colOff>
      <xdr:row>134</xdr:row>
      <xdr:rowOff>56030</xdr:rowOff>
    </xdr:from>
    <xdr:to>
      <xdr:col>11</xdr:col>
      <xdr:colOff>535642</xdr:colOff>
      <xdr:row>159</xdr:row>
      <xdr:rowOff>57150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3Temporary%20Files\High%20Electrification%20-%2040HW%20-%20P6%20Results%20PSE%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Electrification - 40HW - P"/>
      <sheetName val="cleaned"/>
      <sheetName val="Sheet3"/>
      <sheetName val="P1s"/>
    </sheetNames>
    <sheetDataSet>
      <sheetData sheetId="0"/>
      <sheetData sheetId="1"/>
      <sheetData sheetId="2"/>
      <sheetData sheetId="3">
        <row r="2">
          <cell r="D2" t="str">
            <v>T_042700WHITERV-042712WHITRVSC1</v>
          </cell>
        </row>
        <row r="3">
          <cell r="D3" t="str">
            <v>T_042703ALDERTON-042708ALDRTNEC1</v>
          </cell>
        </row>
        <row r="4">
          <cell r="D4" t="str">
            <v>L_042703ALDERTON-042700WHITERVC1</v>
          </cell>
        </row>
        <row r="5">
          <cell r="D5" t="str">
            <v>T_042507BERYDALE-042508BERRYDALC1</v>
          </cell>
        </row>
        <row r="6">
          <cell r="D6" t="str">
            <v>NL_046658TIDEFLTS-046684BRNPTTPC1</v>
          </cell>
        </row>
        <row r="7">
          <cell r="D7" t="str">
            <v>NL_046657TIFLTSTP-046658TIDEFLTSC1</v>
          </cell>
        </row>
        <row r="8">
          <cell r="D8" t="str">
            <v>NL_046684BRNPTTP-046729HYLEBTPC1</v>
          </cell>
        </row>
        <row r="9">
          <cell r="D9" t="str">
            <v>NL_042507BERYDALE-403031COV_BER_CIOC1</v>
          </cell>
        </row>
        <row r="10">
          <cell r="D10" t="str">
            <v>L_040305COVINGTM-042507BERYDALEC1-MS</v>
          </cell>
        </row>
        <row r="11">
          <cell r="D11" t="str">
            <v>NL_040305COVINGTM-403031COV_BER_CIOC1</v>
          </cell>
        </row>
        <row r="12">
          <cell r="D12" t="str">
            <v>NL_042530STARWOOD-046774STARWDTAC1</v>
          </cell>
        </row>
        <row r="13">
          <cell r="D13" t="str">
            <v>L_042530STARWOOD-046774STARWDTAC1</v>
          </cell>
        </row>
        <row r="14">
          <cell r="D14" t="str">
            <v>NL_046729HYLEBTP-046774STARWDTAC1</v>
          </cell>
        </row>
        <row r="15">
          <cell r="D15" t="str">
            <v>L_042779SUMNER-042712WHITRVSC1</v>
          </cell>
        </row>
        <row r="16">
          <cell r="D16" t="str">
            <v>L_042779SUMNER-042788WOODLNDPC1</v>
          </cell>
        </row>
        <row r="17">
          <cell r="D17" t="str">
            <v>NL_040304COVINGTE-042700WHITE RVC1</v>
          </cell>
        </row>
        <row r="18">
          <cell r="D18" t="str">
            <v>L_040304COVINGTE-042700WHITERVC1</v>
          </cell>
        </row>
        <row r="19">
          <cell r="D19" t="str">
            <v>L_042773RHODESLK-042708ALDRTNEC1</v>
          </cell>
        </row>
        <row r="20">
          <cell r="D20" t="str">
            <v>L_040305COVINGTM-042700WHITERVC2</v>
          </cell>
        </row>
        <row r="21">
          <cell r="D21" t="str">
            <v>NL_040305COVINGTM-042700WHITE RVC2</v>
          </cell>
        </row>
        <row r="22">
          <cell r="D22" t="str">
            <v>NT_040792OLY W-040791OLYMPIA EC2</v>
          </cell>
        </row>
        <row r="23">
          <cell r="D23" t="str">
            <v>T_042806TONO-040821PAUL500C1</v>
          </cell>
        </row>
        <row r="24">
          <cell r="D24" t="str">
            <v>T_042700WHITERV-042701WHITRVNC2</v>
          </cell>
        </row>
        <row r="25">
          <cell r="D25" t="str">
            <v>T_042703ALDERTON-042708ALDRTNEC1</v>
          </cell>
        </row>
        <row r="26">
          <cell r="D26" t="str">
            <v>L_042703ALDERTON-042700WHITERVC1</v>
          </cell>
        </row>
        <row r="27">
          <cell r="D27" t="str">
            <v>T_042516OBRIENS-042514OBRIENSC2</v>
          </cell>
        </row>
        <row r="28">
          <cell r="D28" t="str">
            <v>T_042507BERYDALE-042508BERRYDALC1</v>
          </cell>
        </row>
        <row r="29">
          <cell r="D29" t="str">
            <v>L_042809OLYPN-040791OLYMPIAEC1</v>
          </cell>
        </row>
        <row r="30">
          <cell r="D30" t="str">
            <v>NL_042809OLY P N-040791OLYMPIA EC1</v>
          </cell>
        </row>
        <row r="31">
          <cell r="D31" t="str">
            <v>L_042800OLYMPAP-040791OLYMPIAEC2</v>
          </cell>
        </row>
        <row r="32">
          <cell r="D32" t="str">
            <v>NL_040971SHELTON-409710SBR_SHE_CIOC1</v>
          </cell>
        </row>
        <row r="33">
          <cell r="D33" t="str">
            <v>L_042900S.BREM-409710SBR_SHE_CIOC1</v>
          </cell>
        </row>
        <row r="34">
          <cell r="D34" t="str">
            <v>NL_042900S.BREM-409710SBR_SHE_CIOC1</v>
          </cell>
        </row>
        <row r="35">
          <cell r="D35" t="str">
            <v>T_042900S.BREM-042910S.BREMEC1</v>
          </cell>
        </row>
        <row r="36">
          <cell r="D36" t="str">
            <v>L_042779SUMNER-042712WHITRVSC1</v>
          </cell>
        </row>
        <row r="37">
          <cell r="D37" t="str">
            <v>L_042779SUMNER-042712WHITRVSC1</v>
          </cell>
        </row>
        <row r="38">
          <cell r="D38" t="str">
            <v>L_042707ALDRTNW-042776SHAWC1</v>
          </cell>
        </row>
        <row r="39">
          <cell r="D39" t="str">
            <v>L_042779SUMNER-042712WHITRVSC1</v>
          </cell>
        </row>
        <row r="40">
          <cell r="D40" t="str">
            <v>L_042505CHRISTOP-042516OBRIENSC1</v>
          </cell>
        </row>
        <row r="41">
          <cell r="D41" t="str">
            <v>L_3T: OBRIEN-CHRISTOPHTAP</v>
          </cell>
        </row>
        <row r="42">
          <cell r="D42" t="str">
            <v>T_042700WHITERV-042712WHITRVSC1</v>
          </cell>
        </row>
        <row r="43">
          <cell r="D43" t="str">
            <v>T_042507BERYDALE-042508BERRYDALC1</v>
          </cell>
        </row>
        <row r="44">
          <cell r="D44" t="str">
            <v>NT_040693MAPLE VL-040689MAPLE V3C2</v>
          </cell>
        </row>
        <row r="45">
          <cell r="D45" t="str">
            <v>T_042700WHITERV-042701WHITRVNC2</v>
          </cell>
        </row>
        <row r="46">
          <cell r="D46" t="str">
            <v>T_042516OBRIENS-042514OBRIENSC2</v>
          </cell>
        </row>
        <row r="47">
          <cell r="D47" t="str">
            <v>L_042505CHRISTOP-042516OBRIENSC1</v>
          </cell>
        </row>
        <row r="48">
          <cell r="D48" t="str">
            <v>L_3T: OBRIEN-CHRISTOPHTAP</v>
          </cell>
        </row>
        <row r="49">
          <cell r="D49" t="str">
            <v>T_042700WHITERV-042712WHITRVSC1</v>
          </cell>
        </row>
        <row r="50">
          <cell r="D50" t="str">
            <v>T_042507BERYDALE-042508BERRYDALC1</v>
          </cell>
        </row>
        <row r="51">
          <cell r="D51" t="str">
            <v>NT_040693MAPLE VL-040689MAPLE V3C2</v>
          </cell>
        </row>
        <row r="52">
          <cell r="D52" t="str">
            <v>T_042700WHITERV-042701WHITRVNC2</v>
          </cell>
        </row>
        <row r="53">
          <cell r="D53" t="str">
            <v>T_042516OBRIENS-042514OBRIENSC2</v>
          </cell>
        </row>
        <row r="54">
          <cell r="D54" t="str">
            <v>T_042503OBRIENN-042513OBRIENNC1</v>
          </cell>
        </row>
        <row r="55">
          <cell r="D55" t="str">
            <v>NL_042507BERYDALE-403031COV_BER_CIOC1</v>
          </cell>
        </row>
        <row r="56">
          <cell r="D56" t="str">
            <v>L_040305COVINGTM-042507BERYDALEC1-MS</v>
          </cell>
        </row>
        <row r="57">
          <cell r="D57" t="str">
            <v>NL_040305COVINGTM-403031COV_BER_CIOC1</v>
          </cell>
        </row>
        <row r="58">
          <cell r="D58" t="str">
            <v>L_042703ALDERTON-042700WHITERVC1</v>
          </cell>
        </row>
        <row r="59">
          <cell r="D59" t="str">
            <v>T_042703ALDERTON-042708ALDRTNEC1</v>
          </cell>
        </row>
        <row r="60">
          <cell r="D60" t="str">
            <v>T_042503OBRIENN-042513OBRIENNC1</v>
          </cell>
        </row>
        <row r="61">
          <cell r="D61" t="str">
            <v>L_042901S.BREMW-042978SINCLARPC1</v>
          </cell>
        </row>
        <row r="62">
          <cell r="D62" t="str">
            <v>L_047011FERNREF-042030TERRELLC1</v>
          </cell>
        </row>
        <row r="63">
          <cell r="D63" t="str">
            <v>NL_047011FERN REF-042030TERRELLC1</v>
          </cell>
        </row>
        <row r="64">
          <cell r="D64" t="str">
            <v>NL_047011FERN REF-042030TERRELLC1</v>
          </cell>
        </row>
        <row r="65">
          <cell r="D65" t="str">
            <v>L_047011FERNREF-042030TERRELLC1</v>
          </cell>
        </row>
        <row r="66">
          <cell r="D66" t="str">
            <v>L_042901S.BREMW-042978SINCLARPC1</v>
          </cell>
        </row>
        <row r="67">
          <cell r="D67" t="str">
            <v>T_042700WHITERV-042712WHITRVSC1</v>
          </cell>
        </row>
        <row r="68">
          <cell r="D68" t="str">
            <v>T_042700WHITERV-042701WHITRVNC2</v>
          </cell>
        </row>
        <row r="69">
          <cell r="D69" t="str">
            <v>L_042200WHIDBYN-042202WHIDBYSC1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5"/>
  <sheetViews>
    <sheetView zoomScale="110" zoomScaleNormal="110" workbookViewId="0">
      <selection activeCell="J23" sqref="J23"/>
    </sheetView>
  </sheetViews>
  <sheetFormatPr defaultRowHeight="14.5" x14ac:dyDescent="0.35"/>
  <cols>
    <col min="1" max="1" width="14.81640625" customWidth="1"/>
    <col min="2" max="2" width="19" customWidth="1"/>
    <col min="4" max="4" width="8.81640625" customWidth="1"/>
    <col min="5" max="5" width="9.54296875" bestFit="1" customWidth="1"/>
  </cols>
  <sheetData>
    <row r="1" spans="1:28" ht="18.5" x14ac:dyDescent="0.45">
      <c r="A1" s="257" t="s">
        <v>0</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row>
    <row r="2" spans="1:28" x14ac:dyDescent="0.35">
      <c r="A2" s="254"/>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row>
    <row r="3" spans="1:28" x14ac:dyDescent="0.35">
      <c r="A3" s="258" t="s">
        <v>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row>
    <row r="4" spans="1:28" ht="14.5" customHeight="1" x14ac:dyDescent="0.35">
      <c r="A4" s="364" t="s">
        <v>2</v>
      </c>
      <c r="B4" s="364"/>
      <c r="C4" s="364"/>
      <c r="D4" s="364"/>
      <c r="E4" s="364"/>
      <c r="F4" s="364"/>
      <c r="G4" s="254"/>
      <c r="H4" s="254"/>
      <c r="I4" s="254"/>
      <c r="J4" s="254"/>
      <c r="K4" s="254"/>
      <c r="L4" s="254"/>
      <c r="M4" s="254"/>
      <c r="N4" s="254"/>
      <c r="O4" s="254"/>
      <c r="P4" s="254"/>
      <c r="Q4" s="254"/>
      <c r="R4" s="254"/>
      <c r="S4" s="254"/>
      <c r="T4" s="254"/>
      <c r="U4" s="254"/>
      <c r="V4" s="254"/>
      <c r="W4" s="254"/>
      <c r="X4" s="254"/>
      <c r="Y4" s="254"/>
      <c r="Z4" s="254"/>
      <c r="AA4" s="254"/>
      <c r="AB4" s="254"/>
    </row>
    <row r="5" spans="1:28" x14ac:dyDescent="0.35">
      <c r="A5" s="364"/>
      <c r="B5" s="364"/>
      <c r="C5" s="364"/>
      <c r="D5" s="364"/>
      <c r="E5" s="364"/>
      <c r="F5" s="364"/>
      <c r="G5" s="254"/>
      <c r="H5" s="254"/>
      <c r="I5" s="254"/>
      <c r="J5" s="254"/>
      <c r="K5" s="254"/>
      <c r="L5" s="254"/>
      <c r="M5" s="254"/>
      <c r="N5" s="254"/>
      <c r="O5" s="254"/>
      <c r="P5" s="254"/>
      <c r="Q5" s="254"/>
      <c r="R5" s="254"/>
      <c r="S5" s="254"/>
      <c r="T5" s="254"/>
      <c r="U5" s="254"/>
      <c r="V5" s="254"/>
      <c r="W5" s="254"/>
      <c r="X5" s="254"/>
      <c r="Y5" s="254"/>
      <c r="Z5" s="254"/>
      <c r="AA5" s="254"/>
      <c r="AB5" s="254"/>
    </row>
    <row r="6" spans="1:28" x14ac:dyDescent="0.35">
      <c r="A6" s="364"/>
      <c r="B6" s="364"/>
      <c r="C6" s="364"/>
      <c r="D6" s="364"/>
      <c r="E6" s="364"/>
      <c r="F6" s="364"/>
      <c r="G6" s="254"/>
      <c r="H6" s="254"/>
      <c r="I6" s="254"/>
      <c r="J6" s="254"/>
      <c r="K6" s="254"/>
      <c r="L6" s="254"/>
      <c r="M6" s="254"/>
      <c r="N6" s="254"/>
      <c r="O6" s="254"/>
      <c r="P6" s="254"/>
      <c r="Q6" s="254"/>
      <c r="R6" s="254"/>
      <c r="S6" s="254"/>
      <c r="T6" s="254"/>
      <c r="U6" s="254"/>
      <c r="V6" s="254"/>
      <c r="W6" s="254"/>
      <c r="X6" s="254"/>
      <c r="Y6" s="254"/>
      <c r="Z6" s="254"/>
      <c r="AA6" s="254"/>
      <c r="AB6" s="254"/>
    </row>
    <row r="7" spans="1:28" x14ac:dyDescent="0.35">
      <c r="A7" s="364"/>
      <c r="B7" s="364"/>
      <c r="C7" s="364"/>
      <c r="D7" s="364"/>
      <c r="E7" s="364"/>
      <c r="F7" s="364"/>
      <c r="G7" s="254"/>
      <c r="H7" s="254"/>
      <c r="I7" s="254"/>
      <c r="J7" s="254"/>
      <c r="K7" s="254"/>
      <c r="L7" s="254"/>
      <c r="M7" s="254"/>
      <c r="N7" s="254"/>
      <c r="O7" s="254"/>
      <c r="P7" s="254"/>
      <c r="Q7" s="254"/>
      <c r="R7" s="254"/>
      <c r="S7" s="254"/>
      <c r="T7" s="254"/>
      <c r="U7" s="254"/>
      <c r="V7" s="254"/>
      <c r="W7" s="254"/>
      <c r="X7" s="254"/>
      <c r="Y7" s="254"/>
      <c r="Z7" s="254"/>
      <c r="AA7" s="254"/>
      <c r="AB7" s="254"/>
    </row>
    <row r="8" spans="1:28" x14ac:dyDescent="0.35">
      <c r="A8" s="364"/>
      <c r="B8" s="364"/>
      <c r="C8" s="364"/>
      <c r="D8" s="364"/>
      <c r="E8" s="364"/>
      <c r="F8" s="364"/>
      <c r="G8" s="254"/>
      <c r="H8" s="254"/>
      <c r="I8" s="254"/>
      <c r="J8" s="254"/>
      <c r="K8" s="254"/>
      <c r="L8" s="254"/>
      <c r="M8" s="254"/>
      <c r="N8" s="254"/>
      <c r="O8" s="254"/>
      <c r="P8" s="254"/>
      <c r="Q8" s="254"/>
      <c r="R8" s="254"/>
      <c r="S8" s="254"/>
      <c r="T8" s="254"/>
      <c r="U8" s="254"/>
      <c r="V8" s="254"/>
      <c r="W8" s="254"/>
      <c r="X8" s="254"/>
      <c r="Y8" s="254"/>
      <c r="Z8" s="254"/>
      <c r="AA8" s="254"/>
      <c r="AB8" s="254"/>
    </row>
    <row r="9" spans="1:28" x14ac:dyDescent="0.35">
      <c r="A9" s="364"/>
      <c r="B9" s="364"/>
      <c r="C9" s="364"/>
      <c r="D9" s="364"/>
      <c r="E9" s="364"/>
      <c r="F9" s="364"/>
      <c r="G9" s="254"/>
      <c r="H9" s="254"/>
      <c r="I9" s="254"/>
      <c r="J9" s="254"/>
      <c r="K9" s="254"/>
      <c r="L9" s="254"/>
      <c r="M9" s="254"/>
      <c r="N9" s="254"/>
      <c r="O9" s="254"/>
      <c r="P9" s="254"/>
      <c r="Q9" s="254"/>
      <c r="R9" s="254"/>
      <c r="S9" s="254"/>
      <c r="T9" s="254"/>
      <c r="U9" s="254"/>
      <c r="V9" s="254"/>
      <c r="W9" s="254"/>
      <c r="X9" s="254"/>
      <c r="Y9" s="254"/>
      <c r="Z9" s="254"/>
      <c r="AA9" s="254"/>
      <c r="AB9" s="254"/>
    </row>
    <row r="10" spans="1:28" x14ac:dyDescent="0.35">
      <c r="A10" s="286"/>
      <c r="B10" s="286"/>
      <c r="C10" s="286"/>
      <c r="D10" s="286"/>
      <c r="E10" s="286"/>
      <c r="F10" s="286"/>
      <c r="G10" s="254"/>
      <c r="H10" s="254"/>
      <c r="I10" s="254"/>
      <c r="J10" s="254"/>
      <c r="K10" s="254"/>
      <c r="L10" s="254"/>
      <c r="M10" s="254"/>
      <c r="N10" s="254"/>
      <c r="O10" s="254"/>
      <c r="P10" s="254"/>
      <c r="Q10" s="254"/>
      <c r="R10" s="254"/>
      <c r="S10" s="254"/>
      <c r="T10" s="254"/>
      <c r="U10" s="254"/>
      <c r="V10" s="254"/>
      <c r="W10" s="254"/>
      <c r="X10" s="254"/>
      <c r="Y10" s="254"/>
      <c r="Z10" s="254"/>
      <c r="AA10" s="254"/>
      <c r="AB10" s="254"/>
    </row>
    <row r="11" spans="1:28" x14ac:dyDescent="0.35">
      <c r="A11" s="258" t="s">
        <v>3</v>
      </c>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row>
    <row r="12" spans="1:28" x14ac:dyDescent="0.35">
      <c r="A12" s="254" t="s">
        <v>4</v>
      </c>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row>
    <row r="13" spans="1:28" x14ac:dyDescent="0.35">
      <c r="A13" s="254"/>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row>
    <row r="14" spans="1:28" x14ac:dyDescent="0.35">
      <c r="A14" s="259" t="s">
        <v>5</v>
      </c>
      <c r="B14" s="259" t="s">
        <v>6</v>
      </c>
      <c r="C14" s="259" t="s">
        <v>7</v>
      </c>
      <c r="D14" s="259" t="s">
        <v>8</v>
      </c>
      <c r="E14" s="259" t="s">
        <v>9</v>
      </c>
      <c r="F14" s="254"/>
      <c r="G14" s="254"/>
      <c r="H14" s="254"/>
      <c r="I14" s="254"/>
      <c r="J14" s="254"/>
      <c r="K14" s="254"/>
      <c r="L14" s="254"/>
      <c r="M14" s="254"/>
      <c r="N14" s="254"/>
      <c r="O14" s="254"/>
      <c r="P14" s="254"/>
      <c r="Q14" s="254"/>
      <c r="R14" s="254"/>
      <c r="S14" s="254"/>
      <c r="T14" s="254"/>
      <c r="U14" s="254"/>
      <c r="V14" s="254"/>
      <c r="W14" s="254"/>
      <c r="X14" s="254"/>
      <c r="Y14" s="254"/>
      <c r="Z14" s="254"/>
      <c r="AA14" s="254"/>
      <c r="AB14" s="254"/>
    </row>
    <row r="15" spans="1:28" x14ac:dyDescent="0.35">
      <c r="A15" s="260" t="s">
        <v>10</v>
      </c>
      <c r="B15" s="261">
        <f>'Costs-Updated'!C7</f>
        <v>37.299999999999997</v>
      </c>
      <c r="C15" s="260" t="str">
        <f>'Costs-Updated'!C36</f>
        <v>$26M</v>
      </c>
      <c r="D15" s="261">
        <f>'Costs-Updated'!C14</f>
        <v>311</v>
      </c>
      <c r="E15" s="260" t="str">
        <f>'Costs-Updated'!E36</f>
        <v>$825M</v>
      </c>
      <c r="F15" s="254"/>
      <c r="G15" s="254"/>
      <c r="H15" s="254"/>
      <c r="I15" s="254"/>
      <c r="J15" s="254"/>
      <c r="K15" s="254"/>
      <c r="L15" s="254"/>
      <c r="M15" s="254"/>
      <c r="N15" s="254"/>
      <c r="O15" s="254"/>
      <c r="P15" s="254"/>
      <c r="Q15" s="254"/>
      <c r="R15" s="254"/>
      <c r="S15" s="254"/>
      <c r="T15" s="254"/>
      <c r="U15" s="254"/>
      <c r="V15" s="254"/>
      <c r="W15" s="254"/>
      <c r="X15" s="254"/>
      <c r="Y15" s="254"/>
      <c r="Z15" s="254"/>
      <c r="AA15" s="254"/>
      <c r="AB15" s="254"/>
    </row>
    <row r="16" spans="1:28" x14ac:dyDescent="0.35">
      <c r="A16" s="260" t="s">
        <v>11</v>
      </c>
      <c r="B16" s="261">
        <f>'Costs-Updated'!C8</f>
        <v>142</v>
      </c>
      <c r="C16" s="260" t="str">
        <f>'Costs-Updated'!C44</f>
        <v>$177M</v>
      </c>
      <c r="D16" s="261">
        <f>'Costs-Updated'!C15</f>
        <v>1366</v>
      </c>
      <c r="E16" s="260" t="str">
        <f>'Costs-Updated'!E44</f>
        <v>$2,583M</v>
      </c>
      <c r="F16" s="254"/>
      <c r="G16" s="254"/>
      <c r="H16" s="254"/>
      <c r="I16" s="254"/>
      <c r="J16" s="254"/>
      <c r="K16" s="254"/>
      <c r="L16" s="254"/>
      <c r="M16" s="254"/>
      <c r="N16" s="254"/>
      <c r="O16" s="254"/>
      <c r="P16" s="254"/>
      <c r="Q16" s="254"/>
      <c r="R16" s="254"/>
      <c r="S16" s="254"/>
      <c r="T16" s="254"/>
      <c r="U16" s="254"/>
      <c r="V16" s="254"/>
      <c r="W16" s="254"/>
      <c r="X16" s="254"/>
      <c r="Y16" s="254"/>
      <c r="Z16" s="254"/>
      <c r="AA16" s="254"/>
      <c r="AB16" s="254"/>
    </row>
    <row r="17" spans="1:29" ht="15" thickBot="1" x14ac:dyDescent="0.4">
      <c r="A17" s="262" t="s">
        <v>12</v>
      </c>
      <c r="B17" s="263">
        <f>'Costs-Updated'!C9</f>
        <v>366</v>
      </c>
      <c r="C17" s="262" t="str">
        <f>'Costs-Updated'!C52</f>
        <v>$380M</v>
      </c>
      <c r="D17" s="263">
        <f>'Costs-Updated'!C16</f>
        <v>3053</v>
      </c>
      <c r="E17" s="264" t="str">
        <f>'Costs-Updated'!E52</f>
        <v>$5,511M</v>
      </c>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row>
    <row r="18" spans="1:29" ht="15.5" thickTop="1" thickBot="1" x14ac:dyDescent="0.4">
      <c r="A18" s="265" t="s">
        <v>13</v>
      </c>
      <c r="B18" s="266">
        <f>SUM(26+177+380)/SUM(B15:B17)</f>
        <v>1.0691362552723271</v>
      </c>
      <c r="C18" s="265"/>
      <c r="D18" s="266">
        <f>SUM(825+2583+5511)/SUM(D15:D17)</f>
        <v>1.8856236786469345</v>
      </c>
      <c r="E18" s="267"/>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row>
    <row r="19" spans="1:29" ht="15" thickTop="1" x14ac:dyDescent="0.35">
      <c r="A19" s="265" t="s">
        <v>14</v>
      </c>
      <c r="B19" s="266">
        <f>B18*1.15</f>
        <v>1.2295066935631762</v>
      </c>
      <c r="C19" s="265"/>
      <c r="D19" s="266">
        <f>D18*1.15</f>
        <v>2.1684672304439743</v>
      </c>
      <c r="E19" s="267"/>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row>
    <row r="20" spans="1:29" x14ac:dyDescent="0.35">
      <c r="A20" s="254"/>
      <c r="B20" s="255"/>
      <c r="C20" s="254"/>
      <c r="D20" s="255"/>
      <c r="E20" s="256"/>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row>
    <row r="21" spans="1:29" x14ac:dyDescent="0.35">
      <c r="A21" s="258" t="s">
        <v>15</v>
      </c>
      <c r="B21" s="255"/>
      <c r="C21" s="254"/>
      <c r="D21" s="255"/>
      <c r="E21" s="256"/>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row>
    <row r="22" spans="1:29" x14ac:dyDescent="0.35">
      <c r="A22" s="254"/>
      <c r="B22" s="255"/>
      <c r="C22" s="254"/>
      <c r="D22" s="255"/>
      <c r="E22" s="256"/>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row>
    <row r="23" spans="1:29" x14ac:dyDescent="0.35">
      <c r="A23" s="351" t="s">
        <v>5</v>
      </c>
      <c r="B23" s="351" t="s">
        <v>16</v>
      </c>
      <c r="C23" s="351" t="s">
        <v>17</v>
      </c>
      <c r="D23" s="351" t="s">
        <v>18</v>
      </c>
      <c r="E23" s="351" t="s">
        <v>19</v>
      </c>
      <c r="F23" s="351" t="s">
        <v>20</v>
      </c>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row>
    <row r="24" spans="1:29" x14ac:dyDescent="0.35">
      <c r="A24" s="352" t="s">
        <v>21</v>
      </c>
      <c r="B24" s="353" t="s">
        <v>22</v>
      </c>
      <c r="C24" s="354">
        <f>I40</f>
        <v>439.11706629779019</v>
      </c>
      <c r="D24" s="354" t="str">
        <f>CONCATENATE("$",ROUND(C24*$B$19,0),"M")</f>
        <v>$540M</v>
      </c>
      <c r="E24" s="354">
        <f>X40</f>
        <v>2012.5231077248436</v>
      </c>
      <c r="F24" s="355" t="str">
        <f>CONCATENATE("$",ROUND(E24*$D$19,0),"M")</f>
        <v>$4364M</v>
      </c>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row>
    <row r="25" spans="1:29" x14ac:dyDescent="0.35">
      <c r="A25" s="352" t="s">
        <v>23</v>
      </c>
      <c r="B25" s="353" t="s">
        <v>24</v>
      </c>
      <c r="C25" s="354">
        <f>I41</f>
        <v>418.9622188442072</v>
      </c>
      <c r="D25" s="354" t="str">
        <f t="shared" ref="D25:D27" si="0">CONCATENATE("$",ROUND(C25*$B$19,0),"M")</f>
        <v>$515M</v>
      </c>
      <c r="E25" s="354">
        <f t="shared" ref="E25:E27" si="1">X41</f>
        <v>1714.4401674147493</v>
      </c>
      <c r="F25" s="355" t="str">
        <f t="shared" ref="F25:F27" si="2">CONCATENATE("$",ROUND(E25*$D$19,0),"M")</f>
        <v>$3718M</v>
      </c>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row>
    <row r="26" spans="1:29" x14ac:dyDescent="0.35">
      <c r="A26" s="352" t="s">
        <v>25</v>
      </c>
      <c r="B26" s="353" t="s">
        <v>26</v>
      </c>
      <c r="C26" s="354">
        <f>I42</f>
        <v>100.72215694797069</v>
      </c>
      <c r="D26" s="354" t="str">
        <f t="shared" si="0"/>
        <v>$124M</v>
      </c>
      <c r="E26" s="354">
        <f t="shared" si="1"/>
        <v>417.34628745019654</v>
      </c>
      <c r="F26" s="355" t="str">
        <f t="shared" si="2"/>
        <v>$905M</v>
      </c>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row>
    <row r="27" spans="1:29" x14ac:dyDescent="0.35">
      <c r="A27" s="352" t="s">
        <v>27</v>
      </c>
      <c r="B27" s="353" t="s">
        <v>28</v>
      </c>
      <c r="C27" s="354">
        <f>I43</f>
        <v>106.08728929306199</v>
      </c>
      <c r="D27" s="354" t="str">
        <f t="shared" si="0"/>
        <v>$130M</v>
      </c>
      <c r="E27" s="354">
        <f t="shared" si="1"/>
        <v>432.40864474044156</v>
      </c>
      <c r="F27" s="355" t="str">
        <f t="shared" si="2"/>
        <v>$938M</v>
      </c>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row>
    <row r="28" spans="1:29" x14ac:dyDescent="0.35">
      <c r="A28" s="254"/>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row>
    <row r="29" spans="1:29" x14ac:dyDescent="0.35">
      <c r="A29" s="258" t="s">
        <v>29</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row>
    <row r="30" spans="1:29" x14ac:dyDescent="0.35">
      <c r="A30" s="254"/>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row>
    <row r="31" spans="1:29" x14ac:dyDescent="0.35">
      <c r="A31" s="363" t="s">
        <v>5</v>
      </c>
      <c r="B31" s="363" t="s">
        <v>16</v>
      </c>
      <c r="C31" s="363" t="s">
        <v>17</v>
      </c>
      <c r="D31" s="363" t="s">
        <v>18</v>
      </c>
      <c r="E31" s="363" t="s">
        <v>19</v>
      </c>
      <c r="F31" s="363" t="s">
        <v>20</v>
      </c>
      <c r="G31" s="254"/>
      <c r="H31" s="254" t="s">
        <v>30</v>
      </c>
      <c r="I31" s="254"/>
      <c r="J31" s="254" t="s">
        <v>30</v>
      </c>
      <c r="K31" s="254"/>
      <c r="L31" s="254"/>
      <c r="M31" s="254"/>
      <c r="N31" s="254"/>
      <c r="O31" s="254"/>
      <c r="P31" s="254"/>
      <c r="Q31" s="254"/>
      <c r="R31" s="254"/>
      <c r="S31" s="254"/>
      <c r="T31" s="254"/>
      <c r="U31" s="254"/>
      <c r="V31" s="254"/>
      <c r="W31" s="254"/>
      <c r="X31" s="254"/>
      <c r="Y31" s="254"/>
      <c r="Z31" s="254"/>
      <c r="AA31" s="254"/>
      <c r="AB31" s="254"/>
      <c r="AC31" s="254"/>
    </row>
    <row r="32" spans="1:29" x14ac:dyDescent="0.35">
      <c r="A32" s="352" t="s">
        <v>21</v>
      </c>
      <c r="B32" s="353" t="s">
        <v>22</v>
      </c>
      <c r="C32" s="354">
        <f>I40</f>
        <v>439.11706629779019</v>
      </c>
      <c r="D32" s="358">
        <f>'2023 Overall Summary'!E42</f>
        <v>658.35435749999999</v>
      </c>
      <c r="E32" s="354">
        <f>X40</f>
        <v>2012.5231077248436</v>
      </c>
      <c r="F32" s="358">
        <f>'2023 Overall Summary'!E56</f>
        <v>4252.1462174999997</v>
      </c>
      <c r="G32" s="254"/>
      <c r="H32" s="342">
        <f>D32/C32</f>
        <v>1.4992684366622466</v>
      </c>
      <c r="I32" s="254"/>
      <c r="J32" s="254">
        <f>F32/E32</f>
        <v>2.1128434258362621</v>
      </c>
      <c r="K32" s="254"/>
      <c r="L32" s="254"/>
      <c r="M32" s="254"/>
      <c r="N32" s="254"/>
      <c r="O32" s="254"/>
      <c r="P32" s="254"/>
      <c r="Q32" s="254"/>
      <c r="R32" s="254"/>
      <c r="S32" s="254"/>
      <c r="T32" s="254"/>
      <c r="U32" s="254"/>
      <c r="V32" s="254"/>
      <c r="W32" s="254"/>
      <c r="X32" s="254"/>
      <c r="Y32" s="254"/>
      <c r="Z32" s="254"/>
      <c r="AA32" s="254"/>
      <c r="AB32" s="254"/>
      <c r="AC32" s="254"/>
    </row>
    <row r="33" spans="1:29" x14ac:dyDescent="0.35">
      <c r="A33" s="352" t="s">
        <v>23</v>
      </c>
      <c r="B33" s="353" t="s">
        <v>24</v>
      </c>
      <c r="C33" s="354">
        <f t="shared" ref="C33:C35" si="3">I41</f>
        <v>418.9622188442072</v>
      </c>
      <c r="D33" s="358">
        <f>'2023 Overall Summary'!G42</f>
        <v>636.20690999999988</v>
      </c>
      <c r="E33" s="354">
        <f>X41</f>
        <v>1714.4401674147493</v>
      </c>
      <c r="F33" s="358">
        <f>'2023 Overall Summary'!G56</f>
        <v>3621.6318074999999</v>
      </c>
      <c r="G33" s="254"/>
      <c r="H33" s="342">
        <f>D33/C33</f>
        <v>1.518530505579015</v>
      </c>
      <c r="I33" s="254"/>
      <c r="J33" s="254">
        <f t="shared" ref="J33:J35" si="4">F33/E33</f>
        <v>2.1124282295375503</v>
      </c>
      <c r="K33" s="254"/>
      <c r="L33" s="254"/>
      <c r="M33" s="254"/>
      <c r="N33" s="254"/>
      <c r="O33" s="254"/>
      <c r="P33" s="254"/>
      <c r="Q33" s="254"/>
      <c r="R33" s="254"/>
      <c r="S33" s="254"/>
      <c r="T33" s="254"/>
      <c r="U33" s="254"/>
      <c r="V33" s="254"/>
      <c r="W33" s="254"/>
      <c r="X33" s="254"/>
      <c r="Y33" s="254"/>
      <c r="Z33" s="254"/>
      <c r="AA33" s="254"/>
      <c r="AB33" s="254"/>
      <c r="AC33" s="254"/>
    </row>
    <row r="34" spans="1:29" x14ac:dyDescent="0.35">
      <c r="A34" s="352" t="s">
        <v>25</v>
      </c>
      <c r="B34" s="353" t="s">
        <v>26</v>
      </c>
      <c r="C34" s="354">
        <f t="shared" si="3"/>
        <v>100.72215694797069</v>
      </c>
      <c r="D34" s="358">
        <f>'2023 Overall Summary'!I42</f>
        <v>165.0747375</v>
      </c>
      <c r="E34" s="354">
        <f>X42</f>
        <v>417.34628745019654</v>
      </c>
      <c r="F34" s="358">
        <f>'2023 Overall Summary'!I56</f>
        <v>912.4118400000001</v>
      </c>
      <c r="G34" s="254"/>
      <c r="H34" s="342">
        <f>D34/C34</f>
        <v>1.6389118591381184</v>
      </c>
      <c r="I34" s="254"/>
      <c r="J34" s="254">
        <f t="shared" si="4"/>
        <v>2.1862224906190919</v>
      </c>
      <c r="K34" s="254"/>
      <c r="L34" s="254"/>
      <c r="M34" s="254"/>
      <c r="N34" s="254"/>
      <c r="O34" s="254"/>
      <c r="P34" s="254"/>
      <c r="Q34" s="254"/>
      <c r="R34" s="254"/>
      <c r="S34" s="254"/>
      <c r="T34" s="254"/>
      <c r="U34" s="254"/>
      <c r="V34" s="254"/>
      <c r="W34" s="254"/>
      <c r="X34" s="254"/>
      <c r="Y34" s="254"/>
      <c r="Z34" s="254"/>
      <c r="AA34" s="254"/>
      <c r="AB34" s="254"/>
      <c r="AC34" s="254"/>
    </row>
    <row r="35" spans="1:29" x14ac:dyDescent="0.35">
      <c r="A35" s="352" t="s">
        <v>27</v>
      </c>
      <c r="B35" s="353" t="s">
        <v>28</v>
      </c>
      <c r="C35" s="354">
        <f t="shared" si="3"/>
        <v>106.08728929306199</v>
      </c>
      <c r="D35" s="358">
        <f>'2023 Overall Summary'!K42</f>
        <v>169.1371125</v>
      </c>
      <c r="E35" s="354">
        <f>X43</f>
        <v>432.40864474044156</v>
      </c>
      <c r="F35" s="358">
        <f>'2023 Overall Summary'!K56</f>
        <v>951.40943249999987</v>
      </c>
      <c r="G35" s="254"/>
      <c r="H35" s="342">
        <f>D35/C35</f>
        <v>1.5943202397486598</v>
      </c>
      <c r="I35" s="254"/>
      <c r="J35" s="254">
        <f t="shared" si="4"/>
        <v>2.2002553465856232</v>
      </c>
      <c r="K35" s="254"/>
      <c r="L35" s="254"/>
      <c r="M35" s="254"/>
      <c r="N35" s="254"/>
      <c r="O35" s="254"/>
      <c r="P35" s="254"/>
      <c r="Q35" s="254"/>
      <c r="R35" s="254"/>
      <c r="S35" s="254"/>
      <c r="T35" s="254"/>
      <c r="U35" s="254"/>
      <c r="V35" s="254"/>
      <c r="W35" s="254"/>
      <c r="X35" s="254"/>
      <c r="Y35" s="254"/>
      <c r="Z35" s="254"/>
      <c r="AA35" s="254"/>
      <c r="AB35" s="254"/>
      <c r="AC35" s="254"/>
    </row>
    <row r="36" spans="1:29" x14ac:dyDescent="0.35">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row>
    <row r="37" spans="1:29" x14ac:dyDescent="0.35">
      <c r="A37" s="254" t="s">
        <v>31</v>
      </c>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row>
    <row r="38" spans="1:29" x14ac:dyDescent="0.3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row>
    <row r="39" spans="1:29" x14ac:dyDescent="0.35">
      <c r="A39" s="259" t="s">
        <v>5</v>
      </c>
      <c r="B39" s="259" t="s">
        <v>16</v>
      </c>
      <c r="C39" s="259" t="s">
        <v>32</v>
      </c>
      <c r="D39" s="259" t="s">
        <v>33</v>
      </c>
      <c r="E39" s="259" t="s">
        <v>34</v>
      </c>
      <c r="F39" s="259" t="s">
        <v>35</v>
      </c>
      <c r="G39" s="259" t="s">
        <v>36</v>
      </c>
      <c r="H39" s="259" t="s">
        <v>37</v>
      </c>
      <c r="I39" s="259" t="s">
        <v>38</v>
      </c>
      <c r="J39" s="259" t="s">
        <v>39</v>
      </c>
      <c r="K39" s="259" t="s">
        <v>40</v>
      </c>
      <c r="L39" s="259" t="s">
        <v>41</v>
      </c>
      <c r="M39" s="259" t="s">
        <v>42</v>
      </c>
      <c r="N39" s="259" t="s">
        <v>43</v>
      </c>
      <c r="O39" s="259" t="s">
        <v>44</v>
      </c>
      <c r="P39" s="259" t="s">
        <v>45</v>
      </c>
      <c r="Q39" s="259" t="s">
        <v>46</v>
      </c>
      <c r="R39" s="259" t="s">
        <v>47</v>
      </c>
      <c r="S39" s="259" t="s">
        <v>48</v>
      </c>
      <c r="T39" s="259" t="s">
        <v>49</v>
      </c>
      <c r="U39" s="259" t="s">
        <v>50</v>
      </c>
      <c r="V39" s="259" t="s">
        <v>51</v>
      </c>
      <c r="W39" s="259" t="s">
        <v>52</v>
      </c>
      <c r="X39" s="259" t="s">
        <v>53</v>
      </c>
      <c r="Y39" s="259" t="s">
        <v>54</v>
      </c>
      <c r="Z39" s="259" t="s">
        <v>55</v>
      </c>
      <c r="AA39" s="259" t="s">
        <v>56</v>
      </c>
      <c r="AB39" s="259" t="s">
        <v>57</v>
      </c>
      <c r="AC39" s="259" t="s">
        <v>58</v>
      </c>
    </row>
    <row r="40" spans="1:29" x14ac:dyDescent="0.35">
      <c r="A40" t="s">
        <v>21</v>
      </c>
      <c r="B40" s="260" t="s">
        <v>22</v>
      </c>
      <c r="C40" s="261">
        <v>28.82700823686082</v>
      </c>
      <c r="D40" s="261">
        <v>66.90552665317864</v>
      </c>
      <c r="E40" s="261">
        <v>114.53109022932676</v>
      </c>
      <c r="F40" s="261">
        <v>182.49721548996877</v>
      </c>
      <c r="G40" s="261">
        <v>250.6185742341404</v>
      </c>
      <c r="H40" s="261">
        <v>336.20561200052362</v>
      </c>
      <c r="I40" s="261">
        <v>439.11706629779019</v>
      </c>
      <c r="J40" s="261">
        <v>552.18137500612011</v>
      </c>
      <c r="K40" s="261">
        <v>680.78422388992112</v>
      </c>
      <c r="L40" s="261">
        <v>786.20576337067268</v>
      </c>
      <c r="M40" s="261">
        <v>897.75611511607804</v>
      </c>
      <c r="N40" s="261">
        <v>1021.3776067081117</v>
      </c>
      <c r="O40" s="261">
        <v>1147.1008451565449</v>
      </c>
      <c r="P40" s="261">
        <v>1256.1532103410054</v>
      </c>
      <c r="Q40" s="261">
        <v>1385.5975039552159</v>
      </c>
      <c r="R40" s="261">
        <v>1455.0506680332865</v>
      </c>
      <c r="S40" s="261">
        <v>1565.8705935846083</v>
      </c>
      <c r="T40" s="261">
        <v>1669.6322503938081</v>
      </c>
      <c r="U40" s="261">
        <v>1742.0839526036871</v>
      </c>
      <c r="V40" s="261">
        <v>1860.5960489563304</v>
      </c>
      <c r="W40" s="261">
        <v>1953.7445082436243</v>
      </c>
      <c r="X40" s="261">
        <v>2012.5231077248436</v>
      </c>
      <c r="Y40" s="261">
        <v>2081.6708879418984</v>
      </c>
      <c r="Z40" s="261">
        <v>2136.9105161943417</v>
      </c>
      <c r="AA40" s="261">
        <v>2171.5961192308314</v>
      </c>
      <c r="AB40" s="261">
        <v>2202.7142149735928</v>
      </c>
      <c r="AC40" s="261">
        <v>2234.8173822016633</v>
      </c>
    </row>
    <row r="41" spans="1:29" x14ac:dyDescent="0.35">
      <c r="A41" t="s">
        <v>23</v>
      </c>
      <c r="B41" s="260" t="s">
        <v>24</v>
      </c>
      <c r="C41" s="261">
        <v>33.212976187839558</v>
      </c>
      <c r="D41" s="261">
        <v>96.177811526201367</v>
      </c>
      <c r="E41" s="261">
        <v>143.40721509741979</v>
      </c>
      <c r="F41" s="261">
        <v>207.56951737500185</v>
      </c>
      <c r="G41" s="261">
        <v>268.53806986831296</v>
      </c>
      <c r="H41" s="261">
        <v>336.85789109113739</v>
      </c>
      <c r="I41" s="261">
        <v>418.9622188442072</v>
      </c>
      <c r="J41" s="261">
        <v>510.017394463458</v>
      </c>
      <c r="K41" s="261">
        <v>618.8635357606463</v>
      </c>
      <c r="L41" s="261">
        <v>705.43224721181741</v>
      </c>
      <c r="M41" s="261">
        <v>795.75754571865855</v>
      </c>
      <c r="N41" s="261">
        <v>898.45453362505941</v>
      </c>
      <c r="O41" s="261">
        <v>1002.5623840515909</v>
      </c>
      <c r="P41" s="261">
        <v>1093.0725655957531</v>
      </c>
      <c r="Q41" s="261">
        <v>1204.7065791458963</v>
      </c>
      <c r="R41" s="261">
        <v>1293.4712420287242</v>
      </c>
      <c r="S41" s="261">
        <v>1374.1110428348666</v>
      </c>
      <c r="T41" s="261">
        <v>1459.0181033659555</v>
      </c>
      <c r="U41" s="261">
        <v>1513.4472440664549</v>
      </c>
      <c r="V41" s="261">
        <v>1585.6010819385829</v>
      </c>
      <c r="W41" s="261">
        <v>1666.4906748651101</v>
      </c>
      <c r="X41" s="261">
        <v>1714.4401674147493</v>
      </c>
      <c r="Y41" s="261">
        <v>1772.5294827511134</v>
      </c>
      <c r="Z41" s="261">
        <v>1821.148947147266</v>
      </c>
      <c r="AA41" s="261">
        <v>1863.6938729820558</v>
      </c>
      <c r="AB41" s="261">
        <v>1896.135190598945</v>
      </c>
      <c r="AC41" s="261">
        <v>1927.7406359935385</v>
      </c>
    </row>
    <row r="42" spans="1:29" x14ac:dyDescent="0.35">
      <c r="A42" t="s">
        <v>25</v>
      </c>
      <c r="B42" s="260" t="s">
        <v>26</v>
      </c>
      <c r="C42" s="261">
        <v>6.481684322887304</v>
      </c>
      <c r="D42" s="261">
        <v>14.608501341182091</v>
      </c>
      <c r="E42" s="261">
        <v>24.71588204001182</v>
      </c>
      <c r="F42" s="261">
        <v>45.6975626641497</v>
      </c>
      <c r="G42" s="261">
        <v>56.02372886602916</v>
      </c>
      <c r="H42" s="261">
        <v>76.233754366615358</v>
      </c>
      <c r="I42" s="261">
        <v>100.72215694797069</v>
      </c>
      <c r="J42" s="261">
        <v>127.7219354241297</v>
      </c>
      <c r="K42" s="261">
        <v>172.46975728432608</v>
      </c>
      <c r="L42" s="261">
        <v>194.01953823890653</v>
      </c>
      <c r="M42" s="261">
        <v>212.81407615799162</v>
      </c>
      <c r="N42" s="261">
        <v>245.19125756423364</v>
      </c>
      <c r="O42" s="261">
        <v>274.51312170834808</v>
      </c>
      <c r="P42" s="261">
        <v>301.143091923047</v>
      </c>
      <c r="Q42" s="261">
        <v>355.43790219784114</v>
      </c>
      <c r="R42" s="261">
        <v>366.11435527136837</v>
      </c>
      <c r="S42" s="261">
        <v>368.47593897932074</v>
      </c>
      <c r="T42" s="261">
        <v>383.48769300768436</v>
      </c>
      <c r="U42" s="261">
        <v>390.72188154413743</v>
      </c>
      <c r="V42" s="261">
        <v>400.08421700300914</v>
      </c>
      <c r="W42" s="261">
        <v>432.62138407599468</v>
      </c>
      <c r="X42" s="261">
        <v>417.34628745019654</v>
      </c>
      <c r="Y42" s="261">
        <v>428.46549496124226</v>
      </c>
      <c r="Z42" s="261">
        <v>435.51987614253721</v>
      </c>
      <c r="AA42" s="261">
        <v>434.96627379444999</v>
      </c>
      <c r="AB42" s="261">
        <v>441.954220543882</v>
      </c>
      <c r="AC42" s="261">
        <v>451.69754039613235</v>
      </c>
    </row>
    <row r="43" spans="1:29" x14ac:dyDescent="0.35">
      <c r="A43" t="s">
        <v>27</v>
      </c>
      <c r="B43" s="260" t="s">
        <v>28</v>
      </c>
      <c r="C43" s="261">
        <v>7.85693435369285</v>
      </c>
      <c r="D43" s="261">
        <v>17.701240239238359</v>
      </c>
      <c r="E43" s="261">
        <v>29.041575969368751</v>
      </c>
      <c r="F43" s="261">
        <v>51.511091967399807</v>
      </c>
      <c r="G43" s="261">
        <v>63.31920930222168</v>
      </c>
      <c r="H43" s="261">
        <v>82.098458490396297</v>
      </c>
      <c r="I43" s="261">
        <v>106.08728929306199</v>
      </c>
      <c r="J43" s="261">
        <v>131.84594356470552</v>
      </c>
      <c r="K43" s="261">
        <v>171.21642434763726</v>
      </c>
      <c r="L43" s="261">
        <v>189.02881668541249</v>
      </c>
      <c r="M43" s="261">
        <v>206.3444724249357</v>
      </c>
      <c r="N43" s="261">
        <v>236.76748636724915</v>
      </c>
      <c r="O43" s="261">
        <v>264.8466131274381</v>
      </c>
      <c r="P43" s="261">
        <v>290.50582230638975</v>
      </c>
      <c r="Q43" s="261">
        <v>339.25747564732592</v>
      </c>
      <c r="R43" s="261">
        <v>352.74692149685688</v>
      </c>
      <c r="S43" s="261">
        <v>358.82354599764676</v>
      </c>
      <c r="T43" s="261">
        <v>378.05454130128692</v>
      </c>
      <c r="U43" s="261">
        <v>392.29194408879721</v>
      </c>
      <c r="V43" s="261">
        <v>406.48082542259635</v>
      </c>
      <c r="W43" s="261">
        <v>443.38366606923319</v>
      </c>
      <c r="X43" s="261">
        <v>432.40864474044156</v>
      </c>
      <c r="Y43" s="261">
        <v>448.04803499909303</v>
      </c>
      <c r="Z43" s="261">
        <v>462.14134714367265</v>
      </c>
      <c r="AA43" s="261">
        <v>464.8552701287681</v>
      </c>
      <c r="AB43" s="261">
        <v>475.04338071954589</v>
      </c>
      <c r="AC43" s="261">
        <v>488.15066298547936</v>
      </c>
    </row>
    <row r="44" spans="1:29" x14ac:dyDescent="0.35">
      <c r="A44" s="254"/>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row>
    <row r="45" spans="1:29" x14ac:dyDescent="0.35">
      <c r="A45" s="258" t="s">
        <v>59</v>
      </c>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row>
    <row r="46" spans="1:29" x14ac:dyDescent="0.35">
      <c r="A46" s="254"/>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row>
    <row r="47" spans="1:29" x14ac:dyDescent="0.35">
      <c r="A47" s="259" t="s">
        <v>5</v>
      </c>
      <c r="B47" s="259" t="s">
        <v>16</v>
      </c>
      <c r="C47" s="259" t="s">
        <v>32</v>
      </c>
      <c r="D47" s="259" t="s">
        <v>33</v>
      </c>
      <c r="E47" s="259" t="s">
        <v>34</v>
      </c>
      <c r="F47" s="259" t="s">
        <v>35</v>
      </c>
      <c r="G47" s="259" t="s">
        <v>36</v>
      </c>
      <c r="H47" s="259" t="s">
        <v>37</v>
      </c>
      <c r="I47" s="259" t="s">
        <v>38</v>
      </c>
      <c r="J47" s="259" t="s">
        <v>39</v>
      </c>
      <c r="K47" s="259" t="s">
        <v>40</v>
      </c>
      <c r="L47" s="259" t="s">
        <v>41</v>
      </c>
      <c r="M47" s="259" t="s">
        <v>42</v>
      </c>
      <c r="N47" s="259" t="s">
        <v>43</v>
      </c>
      <c r="O47" s="259" t="s">
        <v>44</v>
      </c>
      <c r="P47" s="259" t="s">
        <v>45</v>
      </c>
      <c r="Q47" s="259" t="s">
        <v>46</v>
      </c>
      <c r="R47" s="259" t="s">
        <v>47</v>
      </c>
      <c r="S47" s="259" t="s">
        <v>48</v>
      </c>
      <c r="T47" s="259" t="s">
        <v>49</v>
      </c>
      <c r="U47" s="259" t="s">
        <v>50</v>
      </c>
      <c r="V47" s="259" t="s">
        <v>51</v>
      </c>
      <c r="W47" s="259" t="s">
        <v>52</v>
      </c>
      <c r="X47" s="259" t="s">
        <v>53</v>
      </c>
      <c r="Y47" s="259" t="s">
        <v>54</v>
      </c>
      <c r="Z47" s="259" t="s">
        <v>55</v>
      </c>
      <c r="AA47" s="259" t="s">
        <v>56</v>
      </c>
      <c r="AB47" s="259" t="s">
        <v>57</v>
      </c>
      <c r="AC47" s="259" t="s">
        <v>58</v>
      </c>
    </row>
    <row r="48" spans="1:29" x14ac:dyDescent="0.35">
      <c r="A48" t="s">
        <v>21</v>
      </c>
      <c r="B48" s="260" t="s">
        <v>22</v>
      </c>
      <c r="C48" s="359">
        <f>C40*$H32</f>
        <v>43.219423572928029</v>
      </c>
      <c r="D48" s="359">
        <f t="shared" ref="D48:I48" si="5">D40*$H32</f>
        <v>100.30934434937541</v>
      </c>
      <c r="E48" s="359">
        <f t="shared" si="5"/>
        <v>171.71284859734544</v>
      </c>
      <c r="F48" s="359">
        <f t="shared" si="5"/>
        <v>273.61231496285859</v>
      </c>
      <c r="G48" s="359">
        <f t="shared" si="5"/>
        <v>375.74451799054088</v>
      </c>
      <c r="H48" s="359">
        <f t="shared" si="5"/>
        <v>504.06246230109889</v>
      </c>
      <c r="I48" s="359">
        <f t="shared" si="5"/>
        <v>658.35435749999999</v>
      </c>
      <c r="J48" s="359">
        <f>J40*$J32</f>
        <v>1166.6727880509086</v>
      </c>
      <c r="K48" s="359">
        <f t="shared" ref="K48:AC51" si="6">K40*$J32</f>
        <v>1438.3904718588617</v>
      </c>
      <c r="L48" s="359">
        <f t="shared" si="6"/>
        <v>1661.1296784923056</v>
      </c>
      <c r="M48" s="359">
        <f t="shared" si="6"/>
        <v>1896.818105827308</v>
      </c>
      <c r="N48" s="359">
        <f t="shared" si="6"/>
        <v>2158.010961629609</v>
      </c>
      <c r="O48" s="359">
        <f t="shared" si="6"/>
        <v>2423.6444794602257</v>
      </c>
      <c r="P48" s="359">
        <f t="shared" si="6"/>
        <v>2654.0550523121087</v>
      </c>
      <c r="Q48" s="359">
        <f t="shared" si="6"/>
        <v>2927.5505770869117</v>
      </c>
      <c r="R48" s="359">
        <f t="shared" si="6"/>
        <v>3074.2942382127908</v>
      </c>
      <c r="S48" s="359">
        <f t="shared" si="6"/>
        <v>3308.4393893655651</v>
      </c>
      <c r="T48" s="359">
        <f t="shared" si="6"/>
        <v>3527.6715238087613</v>
      </c>
      <c r="U48" s="359">
        <f t="shared" si="6"/>
        <v>3680.7506265135507</v>
      </c>
      <c r="V48" s="359">
        <f t="shared" si="6"/>
        <v>3931.1481301743065</v>
      </c>
      <c r="W48" s="359">
        <f t="shared" si="6"/>
        <v>4127.9562400062423</v>
      </c>
      <c r="X48" s="359">
        <f t="shared" si="6"/>
        <v>4252.1462174999997</v>
      </c>
      <c r="Y48" s="359">
        <f t="shared" si="6"/>
        <v>4398.2446503427745</v>
      </c>
      <c r="Z48" s="359">
        <f t="shared" si="6"/>
        <v>4514.9573357415884</v>
      </c>
      <c r="AA48" s="359">
        <f t="shared" si="6"/>
        <v>4588.2425840884016</v>
      </c>
      <c r="AB48" s="359">
        <f t="shared" si="6"/>
        <v>4653.9902481030385</v>
      </c>
      <c r="AC48" s="359">
        <f t="shared" si="6"/>
        <v>4721.8192139293897</v>
      </c>
    </row>
    <row r="49" spans="1:29" x14ac:dyDescent="0.35">
      <c r="A49" t="s">
        <v>23</v>
      </c>
      <c r="B49" s="260" t="s">
        <v>24</v>
      </c>
      <c r="C49" s="359">
        <f t="shared" ref="C49:I51" si="7">C41*$H33</f>
        <v>50.434917522303792</v>
      </c>
      <c r="D49" s="359">
        <f t="shared" si="7"/>
        <v>146.04894076236579</v>
      </c>
      <c r="E49" s="359">
        <f t="shared" si="7"/>
        <v>217.76823084556344</v>
      </c>
      <c r="F49" s="359">
        <f t="shared" si="7"/>
        <v>315.2006441622537</v>
      </c>
      <c r="G49" s="359">
        <f t="shared" si="7"/>
        <v>407.78325100434216</v>
      </c>
      <c r="H49" s="359">
        <f t="shared" si="7"/>
        <v>511.52898366690562</v>
      </c>
      <c r="I49" s="359">
        <f t="shared" si="7"/>
        <v>636.20690999999988</v>
      </c>
      <c r="J49" s="359">
        <f t="shared" ref="J49:Y51" si="8">J41*$J33</f>
        <v>1077.375141619797</v>
      </c>
      <c r="K49" s="359">
        <f t="shared" si="8"/>
        <v>1307.3048031722105</v>
      </c>
      <c r="L49" s="359">
        <f t="shared" si="8"/>
        <v>1490.1749930363549</v>
      </c>
      <c r="M49" s="359">
        <f t="shared" si="8"/>
        <v>1680.9807034436121</v>
      </c>
      <c r="N49" s="359">
        <f t="shared" si="8"/>
        <v>1897.9207197855696</v>
      </c>
      <c r="O49" s="359">
        <f t="shared" si="8"/>
        <v>2117.8410819430478</v>
      </c>
      <c r="P49" s="359">
        <f t="shared" si="8"/>
        <v>2309.0373444975044</v>
      </c>
      <c r="Q49" s="359">
        <f t="shared" si="8"/>
        <v>2544.8561860974046</v>
      </c>
      <c r="R49" s="359">
        <f t="shared" si="8"/>
        <v>2732.3651657564742</v>
      </c>
      <c r="S49" s="359">
        <f t="shared" si="8"/>
        <v>2902.710957403654</v>
      </c>
      <c r="T49" s="359">
        <f t="shared" si="8"/>
        <v>3082.07102895658</v>
      </c>
      <c r="U49" s="359">
        <f t="shared" si="8"/>
        <v>3197.0486822817861</v>
      </c>
      <c r="V49" s="359">
        <f t="shared" si="8"/>
        <v>3349.4684862723448</v>
      </c>
      <c r="W49" s="359">
        <f t="shared" si="8"/>
        <v>3520.3419458461417</v>
      </c>
      <c r="X49" s="359">
        <f t="shared" si="8"/>
        <v>3621.6318075000004</v>
      </c>
      <c r="Y49" s="359">
        <f t="shared" si="8"/>
        <v>3744.3413170510444</v>
      </c>
      <c r="Z49" s="359">
        <f t="shared" si="6"/>
        <v>3847.0464461464726</v>
      </c>
      <c r="AA49" s="359">
        <f t="shared" si="6"/>
        <v>3936.9195485034643</v>
      </c>
      <c r="AB49" s="359">
        <f t="shared" si="6"/>
        <v>4005.4495036407748</v>
      </c>
      <c r="AC49" s="359">
        <f t="shared" si="6"/>
        <v>4072.2137386994218</v>
      </c>
    </row>
    <row r="50" spans="1:29" x14ac:dyDescent="0.35">
      <c r="A50" t="s">
        <v>25</v>
      </c>
      <c r="B50" s="260" t="s">
        <v>26</v>
      </c>
      <c r="C50" s="359">
        <f t="shared" si="7"/>
        <v>10.622909303969628</v>
      </c>
      <c r="D50" s="359">
        <f t="shared" si="7"/>
        <v>23.942046092298437</v>
      </c>
      <c r="E50" s="359">
        <f t="shared" si="7"/>
        <v>40.507152184434204</v>
      </c>
      <c r="F50" s="359">
        <f t="shared" si="7"/>
        <v>74.894277383982256</v>
      </c>
      <c r="G50" s="359">
        <f t="shared" si="7"/>
        <v>91.817953631673717</v>
      </c>
      <c r="H50" s="359">
        <f t="shared" si="7"/>
        <v>124.94040409806823</v>
      </c>
      <c r="I50" s="359">
        <f t="shared" si="7"/>
        <v>165.0747375</v>
      </c>
      <c r="J50" s="359">
        <f t="shared" si="8"/>
        <v>279.22856776963164</v>
      </c>
      <c r="K50" s="359">
        <f t="shared" si="6"/>
        <v>377.05726232660965</v>
      </c>
      <c r="L50" s="359">
        <f t="shared" si="6"/>
        <v>424.16987811742837</v>
      </c>
      <c r="M50" s="359">
        <f t="shared" si="6"/>
        <v>465.25891961692554</v>
      </c>
      <c r="N50" s="359">
        <f t="shared" si="6"/>
        <v>536.04264179010613</v>
      </c>
      <c r="O50" s="359">
        <f t="shared" si="6"/>
        <v>600.14676064884668</v>
      </c>
      <c r="P50" s="359">
        <f t="shared" si="6"/>
        <v>658.36580045673793</v>
      </c>
      <c r="Q50" s="359">
        <f t="shared" si="6"/>
        <v>777.06633580338951</v>
      </c>
      <c r="R50" s="359">
        <f t="shared" si="6"/>
        <v>800.40743763277396</v>
      </c>
      <c r="S50" s="359">
        <f t="shared" si="6"/>
        <v>805.57038504857917</v>
      </c>
      <c r="T50" s="359">
        <f t="shared" si="6"/>
        <v>838.38941932902947</v>
      </c>
      <c r="U50" s="359">
        <f t="shared" si="6"/>
        <v>854.20496500880199</v>
      </c>
      <c r="V50" s="359">
        <f t="shared" si="6"/>
        <v>874.67311335370789</v>
      </c>
      <c r="W50" s="359">
        <f t="shared" si="6"/>
        <v>945.80659978969982</v>
      </c>
      <c r="X50" s="359">
        <f t="shared" si="6"/>
        <v>912.4118400000001</v>
      </c>
      <c r="Y50" s="359">
        <f t="shared" si="6"/>
        <v>936.720901538509</v>
      </c>
      <c r="Z50" s="359">
        <f t="shared" si="6"/>
        <v>952.14334833445616</v>
      </c>
      <c r="AA50" s="359">
        <f t="shared" si="6"/>
        <v>950.93305043020825</v>
      </c>
      <c r="AB50" s="359">
        <f t="shared" si="6"/>
        <v>966.21025677706518</v>
      </c>
      <c r="AC50" s="359">
        <f t="shared" si="6"/>
        <v>987.51132177135037</v>
      </c>
    </row>
    <row r="51" spans="1:29" x14ac:dyDescent="0.35">
      <c r="A51" t="s">
        <v>27</v>
      </c>
      <c r="B51" s="260" t="s">
        <v>28</v>
      </c>
      <c r="C51" s="359">
        <f t="shared" si="7"/>
        <v>12.526469462469066</v>
      </c>
      <c r="D51" s="359">
        <f t="shared" si="7"/>
        <v>28.221445582071123</v>
      </c>
      <c r="E51" s="359">
        <f t="shared" si="7"/>
        <v>46.301572362162901</v>
      </c>
      <c r="F51" s="359">
        <f t="shared" si="7"/>
        <v>82.125176495180128</v>
      </c>
      <c r="G51" s="359">
        <f t="shared" si="7"/>
        <v>100.95109695541363</v>
      </c>
      <c r="H51" s="359">
        <f t="shared" si="7"/>
        <v>130.89123402340402</v>
      </c>
      <c r="I51" s="359">
        <f t="shared" si="7"/>
        <v>169.1371125</v>
      </c>
      <c r="J51" s="359">
        <f t="shared" si="8"/>
        <v>290.09474225386964</v>
      </c>
      <c r="K51" s="359">
        <f t="shared" si="6"/>
        <v>376.71985309416175</v>
      </c>
      <c r="L51" s="359">
        <f t="shared" si="6"/>
        <v>415.9116645708325</v>
      </c>
      <c r="M51" s="359">
        <f t="shared" si="6"/>
        <v>454.01052869135447</v>
      </c>
      <c r="N51" s="359">
        <f t="shared" si="6"/>
        <v>520.9489277771786</v>
      </c>
      <c r="O51" s="359">
        <f t="shared" si="6"/>
        <v>582.7301765587398</v>
      </c>
      <c r="P51" s="359">
        <f t="shared" si="6"/>
        <v>639.18698874388701</v>
      </c>
      <c r="Q51" s="359">
        <f t="shared" si="6"/>
        <v>746.45307466217071</v>
      </c>
      <c r="R51" s="359">
        <f t="shared" si="6"/>
        <v>776.13330001507848</v>
      </c>
      <c r="S51" s="359">
        <f t="shared" si="6"/>
        <v>789.50342556213457</v>
      </c>
      <c r="T51" s="359">
        <f t="shared" si="6"/>
        <v>831.8165257991318</v>
      </c>
      <c r="U51" s="359">
        <f t="shared" si="6"/>
        <v>863.14244740384436</v>
      </c>
      <c r="V51" s="359">
        <f t="shared" si="6"/>
        <v>894.36160942060496</v>
      </c>
      <c r="W51" s="359">
        <f t="shared" si="6"/>
        <v>975.55728185756482</v>
      </c>
      <c r="X51" s="359">
        <f t="shared" si="6"/>
        <v>951.40943249999987</v>
      </c>
      <c r="Y51" s="359">
        <f t="shared" si="6"/>
        <v>985.82008453393689</v>
      </c>
      <c r="Z51" s="359">
        <f t="shared" si="6"/>
        <v>1016.8289699311482</v>
      </c>
      <c r="AA51" s="359">
        <f t="shared" si="6"/>
        <v>1022.8002934893261</v>
      </c>
      <c r="AB51" s="359">
        <f t="shared" si="6"/>
        <v>1045.2167382882906</v>
      </c>
      <c r="AC51" s="359">
        <f t="shared" si="6"/>
        <v>1074.0561061731175</v>
      </c>
    </row>
    <row r="52" spans="1:29" x14ac:dyDescent="0.35">
      <c r="A52" s="254"/>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row>
    <row r="53" spans="1:29" x14ac:dyDescent="0.35">
      <c r="A53" s="258" t="s">
        <v>60</v>
      </c>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row>
    <row r="54" spans="1:29" x14ac:dyDescent="0.35">
      <c r="A54" s="254"/>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row>
    <row r="55" spans="1:29" x14ac:dyDescent="0.35">
      <c r="A55" s="259" t="s">
        <v>5</v>
      </c>
      <c r="B55" s="259" t="s">
        <v>16</v>
      </c>
      <c r="C55" s="259" t="s">
        <v>32</v>
      </c>
      <c r="D55" s="259" t="s">
        <v>33</v>
      </c>
      <c r="E55" s="259" t="s">
        <v>34</v>
      </c>
      <c r="F55" s="259" t="s">
        <v>35</v>
      </c>
      <c r="G55" s="259" t="s">
        <v>36</v>
      </c>
      <c r="H55" s="259" t="s">
        <v>37</v>
      </c>
      <c r="I55" s="259" t="s">
        <v>38</v>
      </c>
      <c r="J55" s="259" t="s">
        <v>39</v>
      </c>
      <c r="K55" s="259" t="s">
        <v>40</v>
      </c>
      <c r="L55" s="259" t="s">
        <v>41</v>
      </c>
      <c r="M55" s="259" t="s">
        <v>42</v>
      </c>
      <c r="N55" s="259" t="s">
        <v>43</v>
      </c>
      <c r="O55" s="259" t="s">
        <v>44</v>
      </c>
      <c r="P55" s="259" t="s">
        <v>45</v>
      </c>
      <c r="Q55" s="259" t="s">
        <v>46</v>
      </c>
      <c r="R55" s="259" t="s">
        <v>47</v>
      </c>
      <c r="S55" s="259" t="s">
        <v>48</v>
      </c>
      <c r="T55" s="259" t="s">
        <v>49</v>
      </c>
      <c r="U55" s="259" t="s">
        <v>50</v>
      </c>
      <c r="V55" s="259" t="s">
        <v>51</v>
      </c>
      <c r="W55" s="259" t="s">
        <v>52</v>
      </c>
      <c r="X55" s="259" t="s">
        <v>53</v>
      </c>
      <c r="Y55" s="259" t="s">
        <v>54</v>
      </c>
      <c r="Z55" s="259" t="s">
        <v>55</v>
      </c>
      <c r="AA55" s="259" t="s">
        <v>56</v>
      </c>
      <c r="AB55" s="259" t="s">
        <v>57</v>
      </c>
      <c r="AC55" s="259" t="s">
        <v>58</v>
      </c>
    </row>
    <row r="56" spans="1:29" x14ac:dyDescent="0.35">
      <c r="A56" t="s">
        <v>21</v>
      </c>
      <c r="B56" s="260" t="s">
        <v>22</v>
      </c>
      <c r="C56" s="359">
        <f>C48</f>
        <v>43.219423572928029</v>
      </c>
      <c r="D56" s="359">
        <f>D48-C48</f>
        <v>57.089920776447379</v>
      </c>
      <c r="E56" s="359">
        <f t="shared" ref="E56:AC59" si="9">E48-D48</f>
        <v>71.403504247970034</v>
      </c>
      <c r="F56" s="359">
        <f t="shared" si="9"/>
        <v>101.89946636551315</v>
      </c>
      <c r="G56" s="359">
        <f t="shared" si="9"/>
        <v>102.13220302768229</v>
      </c>
      <c r="H56" s="359">
        <f t="shared" si="9"/>
        <v>128.317944310558</v>
      </c>
      <c r="I56" s="359">
        <f t="shared" si="9"/>
        <v>154.2918951989011</v>
      </c>
      <c r="J56" s="359">
        <f t="shared" si="9"/>
        <v>508.3184305509086</v>
      </c>
      <c r="K56" s="359">
        <f t="shared" si="9"/>
        <v>271.71768380795311</v>
      </c>
      <c r="L56" s="359">
        <f t="shared" si="9"/>
        <v>222.73920663344393</v>
      </c>
      <c r="M56" s="359">
        <f t="shared" si="9"/>
        <v>235.68842733500242</v>
      </c>
      <c r="N56" s="359">
        <f t="shared" si="9"/>
        <v>261.19285580230098</v>
      </c>
      <c r="O56" s="359">
        <f t="shared" si="9"/>
        <v>265.63351783061671</v>
      </c>
      <c r="P56" s="359">
        <f t="shared" si="9"/>
        <v>230.41057285188299</v>
      </c>
      <c r="Q56" s="359">
        <f t="shared" si="9"/>
        <v>273.49552477480302</v>
      </c>
      <c r="R56" s="359">
        <f t="shared" si="9"/>
        <v>146.74366112587904</v>
      </c>
      <c r="S56" s="359">
        <f t="shared" si="9"/>
        <v>234.14515115277436</v>
      </c>
      <c r="T56" s="359">
        <f t="shared" si="9"/>
        <v>219.23213444319617</v>
      </c>
      <c r="U56" s="359">
        <f t="shared" si="9"/>
        <v>153.07910270478942</v>
      </c>
      <c r="V56" s="359">
        <f t="shared" si="9"/>
        <v>250.39750366075577</v>
      </c>
      <c r="W56" s="359">
        <f t="shared" si="9"/>
        <v>196.80810983193578</v>
      </c>
      <c r="X56" s="359">
        <f t="shared" si="9"/>
        <v>124.1899774937574</v>
      </c>
      <c r="Y56" s="359">
        <f t="shared" si="9"/>
        <v>146.09843284277486</v>
      </c>
      <c r="Z56" s="359">
        <f t="shared" si="9"/>
        <v>116.71268539881385</v>
      </c>
      <c r="AA56" s="359">
        <f t="shared" si="9"/>
        <v>73.285248346813205</v>
      </c>
      <c r="AB56" s="359">
        <f t="shared" si="9"/>
        <v>65.747664014636939</v>
      </c>
      <c r="AC56" s="359">
        <f t="shared" si="9"/>
        <v>67.828965826351123</v>
      </c>
    </row>
    <row r="57" spans="1:29" x14ac:dyDescent="0.35">
      <c r="A57" t="s">
        <v>23</v>
      </c>
      <c r="B57" s="260" t="s">
        <v>24</v>
      </c>
      <c r="C57" s="359">
        <f t="shared" ref="C57:C59" si="10">C49</f>
        <v>50.434917522303792</v>
      </c>
      <c r="D57" s="359">
        <f t="shared" ref="D57:S59" si="11">D49-C49</f>
        <v>95.614023240061996</v>
      </c>
      <c r="E57" s="359">
        <f t="shared" si="11"/>
        <v>71.719290083197649</v>
      </c>
      <c r="F57" s="359">
        <f t="shared" si="11"/>
        <v>97.432413316690258</v>
      </c>
      <c r="G57" s="359">
        <f t="shared" si="11"/>
        <v>92.582606842088467</v>
      </c>
      <c r="H57" s="359">
        <f t="shared" si="11"/>
        <v>103.74573266256346</v>
      </c>
      <c r="I57" s="359">
        <f t="shared" si="11"/>
        <v>124.67792633309426</v>
      </c>
      <c r="J57" s="359">
        <f t="shared" si="11"/>
        <v>441.1682316197971</v>
      </c>
      <c r="K57" s="359">
        <f t="shared" si="11"/>
        <v>229.92966155241356</v>
      </c>
      <c r="L57" s="359">
        <f t="shared" si="11"/>
        <v>182.87018986414432</v>
      </c>
      <c r="M57" s="359">
        <f t="shared" si="11"/>
        <v>190.80571040725727</v>
      </c>
      <c r="N57" s="359">
        <f t="shared" si="11"/>
        <v>216.94001634195752</v>
      </c>
      <c r="O57" s="359">
        <f t="shared" si="11"/>
        <v>219.92036215747817</v>
      </c>
      <c r="P57" s="359">
        <f t="shared" si="11"/>
        <v>191.19626255445655</v>
      </c>
      <c r="Q57" s="359">
        <f t="shared" si="11"/>
        <v>235.81884159990022</v>
      </c>
      <c r="R57" s="359">
        <f t="shared" si="11"/>
        <v>187.50897965906961</v>
      </c>
      <c r="S57" s="359">
        <f t="shared" si="11"/>
        <v>170.34579164717979</v>
      </c>
      <c r="T57" s="359">
        <f t="shared" si="9"/>
        <v>179.360071552926</v>
      </c>
      <c r="U57" s="359">
        <f t="shared" si="9"/>
        <v>114.97765332520612</v>
      </c>
      <c r="V57" s="359">
        <f t="shared" si="9"/>
        <v>152.41980399055865</v>
      </c>
      <c r="W57" s="359">
        <f t="shared" si="9"/>
        <v>170.87345957379694</v>
      </c>
      <c r="X57" s="359">
        <f t="shared" si="9"/>
        <v>101.28986165385868</v>
      </c>
      <c r="Y57" s="359">
        <f t="shared" si="9"/>
        <v>122.70950955104399</v>
      </c>
      <c r="Z57" s="359">
        <f t="shared" si="9"/>
        <v>102.70512909542822</v>
      </c>
      <c r="AA57" s="359">
        <f t="shared" si="9"/>
        <v>89.873102356991694</v>
      </c>
      <c r="AB57" s="359">
        <f t="shared" si="9"/>
        <v>68.52995513731048</v>
      </c>
      <c r="AC57" s="359">
        <f t="shared" si="9"/>
        <v>66.764235058647046</v>
      </c>
    </row>
    <row r="58" spans="1:29" x14ac:dyDescent="0.35">
      <c r="A58" t="s">
        <v>25</v>
      </c>
      <c r="B58" s="260" t="s">
        <v>26</v>
      </c>
      <c r="C58" s="359">
        <f t="shared" si="10"/>
        <v>10.622909303969628</v>
      </c>
      <c r="D58" s="359">
        <f t="shared" si="11"/>
        <v>13.319136788328809</v>
      </c>
      <c r="E58" s="359">
        <f t="shared" si="9"/>
        <v>16.565106092135768</v>
      </c>
      <c r="F58" s="359">
        <f t="shared" si="9"/>
        <v>34.387125199548052</v>
      </c>
      <c r="G58" s="359">
        <f t="shared" si="9"/>
        <v>16.923676247691461</v>
      </c>
      <c r="H58" s="359">
        <f t="shared" si="9"/>
        <v>33.122450466394511</v>
      </c>
      <c r="I58" s="359">
        <f t="shared" si="9"/>
        <v>40.134333401931769</v>
      </c>
      <c r="J58" s="359">
        <f t="shared" si="9"/>
        <v>114.15383026963164</v>
      </c>
      <c r="K58" s="359">
        <f t="shared" si="9"/>
        <v>97.828694556978007</v>
      </c>
      <c r="L58" s="359">
        <f t="shared" si="9"/>
        <v>47.112615790818722</v>
      </c>
      <c r="M58" s="359">
        <f t="shared" si="9"/>
        <v>41.089041499497171</v>
      </c>
      <c r="N58" s="359">
        <f t="shared" si="9"/>
        <v>70.783722173180593</v>
      </c>
      <c r="O58" s="359">
        <f t="shared" si="9"/>
        <v>64.104118858740549</v>
      </c>
      <c r="P58" s="359">
        <f t="shared" si="9"/>
        <v>58.219039807891249</v>
      </c>
      <c r="Q58" s="359">
        <f t="shared" si="9"/>
        <v>118.70053534665158</v>
      </c>
      <c r="R58" s="359">
        <f t="shared" si="9"/>
        <v>23.341101829384456</v>
      </c>
      <c r="S58" s="359">
        <f t="shared" si="9"/>
        <v>5.1629474158052062</v>
      </c>
      <c r="T58" s="359">
        <f t="shared" si="9"/>
        <v>32.819034280450296</v>
      </c>
      <c r="U58" s="359">
        <f t="shared" si="9"/>
        <v>15.815545679772526</v>
      </c>
      <c r="V58" s="359">
        <f t="shared" si="9"/>
        <v>20.468148344905899</v>
      </c>
      <c r="W58" s="359">
        <f t="shared" si="9"/>
        <v>71.133486435991927</v>
      </c>
      <c r="X58" s="359">
        <f t="shared" si="9"/>
        <v>-33.394759789699719</v>
      </c>
      <c r="Y58" s="359">
        <f t="shared" si="9"/>
        <v>24.3090615385089</v>
      </c>
      <c r="Z58" s="359">
        <f t="shared" si="9"/>
        <v>15.422446795947167</v>
      </c>
      <c r="AA58" s="359">
        <f t="shared" si="9"/>
        <v>-1.2102979042479092</v>
      </c>
      <c r="AB58" s="359">
        <f t="shared" si="9"/>
        <v>15.277206346856929</v>
      </c>
      <c r="AC58" s="359">
        <f t="shared" si="9"/>
        <v>21.301064994285184</v>
      </c>
    </row>
    <row r="59" spans="1:29" x14ac:dyDescent="0.35">
      <c r="A59" t="s">
        <v>27</v>
      </c>
      <c r="B59" s="260" t="s">
        <v>28</v>
      </c>
      <c r="C59" s="359">
        <f t="shared" si="10"/>
        <v>12.526469462469066</v>
      </c>
      <c r="D59" s="359">
        <f t="shared" si="11"/>
        <v>15.694976119602057</v>
      </c>
      <c r="E59" s="359">
        <f t="shared" si="9"/>
        <v>18.080126780091778</v>
      </c>
      <c r="F59" s="359">
        <f t="shared" si="9"/>
        <v>35.823604133017227</v>
      </c>
      <c r="G59" s="359">
        <f t="shared" si="9"/>
        <v>18.825920460233505</v>
      </c>
      <c r="H59" s="359">
        <f t="shared" si="9"/>
        <v>29.940137067990392</v>
      </c>
      <c r="I59" s="359">
        <f t="shared" si="9"/>
        <v>38.245878476595976</v>
      </c>
      <c r="J59" s="359">
        <f t="shared" si="9"/>
        <v>120.95762975386964</v>
      </c>
      <c r="K59" s="359">
        <f t="shared" si="9"/>
        <v>86.625110840292109</v>
      </c>
      <c r="L59" s="359">
        <f t="shared" si="9"/>
        <v>39.19181147667075</v>
      </c>
      <c r="M59" s="359">
        <f t="shared" si="9"/>
        <v>38.098864120521966</v>
      </c>
      <c r="N59" s="359">
        <f t="shared" si="9"/>
        <v>66.93839908582413</v>
      </c>
      <c r="O59" s="359">
        <f t="shared" si="9"/>
        <v>61.781248781561203</v>
      </c>
      <c r="P59" s="359">
        <f t="shared" si="9"/>
        <v>56.456812185147214</v>
      </c>
      <c r="Q59" s="359">
        <f t="shared" si="9"/>
        <v>107.26608591828369</v>
      </c>
      <c r="R59" s="359">
        <f t="shared" si="9"/>
        <v>29.680225352907769</v>
      </c>
      <c r="S59" s="359">
        <f t="shared" si="9"/>
        <v>13.370125547056091</v>
      </c>
      <c r="T59" s="359">
        <f t="shared" si="9"/>
        <v>42.313100236997229</v>
      </c>
      <c r="U59" s="359">
        <f t="shared" si="9"/>
        <v>31.325921604712562</v>
      </c>
      <c r="V59" s="359">
        <f t="shared" si="9"/>
        <v>31.219162016760606</v>
      </c>
      <c r="W59" s="359">
        <f t="shared" si="9"/>
        <v>81.195672436959853</v>
      </c>
      <c r="X59" s="359">
        <f t="shared" si="9"/>
        <v>-24.147849357564951</v>
      </c>
      <c r="Y59" s="359">
        <f t="shared" si="9"/>
        <v>34.410652033937026</v>
      </c>
      <c r="Z59" s="359">
        <f t="shared" si="9"/>
        <v>31.008885397211316</v>
      </c>
      <c r="AA59" s="359">
        <f t="shared" si="9"/>
        <v>5.9713235581779145</v>
      </c>
      <c r="AB59" s="359">
        <f t="shared" si="9"/>
        <v>22.416444798964449</v>
      </c>
      <c r="AC59" s="359">
        <f t="shared" si="9"/>
        <v>28.83936788482697</v>
      </c>
    </row>
    <row r="60" spans="1:29" x14ac:dyDescent="0.35">
      <c r="A60" s="254"/>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row>
    <row r="61" spans="1:29" x14ac:dyDescent="0.35">
      <c r="A61" s="254"/>
      <c r="B61" s="254"/>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row>
    <row r="62" spans="1:29" x14ac:dyDescent="0.35">
      <c r="A62" s="254"/>
      <c r="B62" s="254"/>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row>
    <row r="63" spans="1:29" x14ac:dyDescent="0.35">
      <c r="A63" s="254"/>
      <c r="B63" s="254"/>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row>
    <row r="64" spans="1:29" x14ac:dyDescent="0.35">
      <c r="A64" s="254"/>
      <c r="B64" s="254"/>
      <c r="C64" s="254"/>
      <c r="D64" s="254"/>
      <c r="E64" s="254"/>
      <c r="F64" s="254"/>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row>
    <row r="65" spans="1:29" x14ac:dyDescent="0.35">
      <c r="A65" s="254"/>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row>
    <row r="66" spans="1:29" x14ac:dyDescent="0.35">
      <c r="A66" s="254"/>
      <c r="B66" s="254"/>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row>
    <row r="67" spans="1:29" x14ac:dyDescent="0.35">
      <c r="A67" s="254"/>
      <c r="B67" s="254"/>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row>
    <row r="68" spans="1:29" x14ac:dyDescent="0.35">
      <c r="A68" s="254"/>
      <c r="B68" s="254"/>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row>
    <row r="69" spans="1:29" x14ac:dyDescent="0.35">
      <c r="A69" s="254"/>
      <c r="B69" s="254"/>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row>
    <row r="70" spans="1:29" x14ac:dyDescent="0.35">
      <c r="A70" s="254"/>
      <c r="B70" s="254"/>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row>
    <row r="71" spans="1:29" x14ac:dyDescent="0.35">
      <c r="A71" s="254"/>
      <c r="B71" s="254"/>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row>
    <row r="72" spans="1:29" x14ac:dyDescent="0.35">
      <c r="A72" s="254"/>
      <c r="B72" s="254"/>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row>
    <row r="73" spans="1:29" x14ac:dyDescent="0.35">
      <c r="A73" s="254"/>
      <c r="B73" s="254"/>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row>
    <row r="74" spans="1:29" x14ac:dyDescent="0.35">
      <c r="A74" s="254"/>
      <c r="B74" s="254"/>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row>
    <row r="75" spans="1:29" x14ac:dyDescent="0.35">
      <c r="A75" s="254"/>
      <c r="B75" s="254"/>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row>
    <row r="76" spans="1:29" x14ac:dyDescent="0.35">
      <c r="A76" s="254"/>
      <c r="B76" s="254"/>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row>
    <row r="77" spans="1:29" x14ac:dyDescent="0.35">
      <c r="A77" s="254"/>
      <c r="B77" s="254"/>
      <c r="C77" s="254"/>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row>
    <row r="78" spans="1:29" x14ac:dyDescent="0.35">
      <c r="A78" s="254"/>
      <c r="B78" s="254"/>
      <c r="C78" s="254"/>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row>
    <row r="79" spans="1:29" x14ac:dyDescent="0.35">
      <c r="A79" s="254"/>
      <c r="B79" s="254"/>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row>
    <row r="80" spans="1:29" x14ac:dyDescent="0.35">
      <c r="A80" s="254"/>
      <c r="B80" s="254"/>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row>
    <row r="81" spans="1:29" x14ac:dyDescent="0.35">
      <c r="A81" s="254"/>
      <c r="B81" s="254"/>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row>
    <row r="82" spans="1:29" x14ac:dyDescent="0.35">
      <c r="A82" s="254"/>
      <c r="B82" s="254"/>
      <c r="C82" s="254"/>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row>
    <row r="83" spans="1:29" x14ac:dyDescent="0.35">
      <c r="A83" s="254"/>
      <c r="B83" s="254"/>
      <c r="C83" s="254"/>
      <c r="D83" s="254"/>
      <c r="E83" s="254"/>
      <c r="F83" s="254"/>
      <c r="G83" s="254"/>
      <c r="H83" s="254"/>
      <c r="I83" s="254"/>
      <c r="J83" s="254"/>
      <c r="K83" s="254"/>
      <c r="L83" s="254"/>
      <c r="M83" s="254"/>
      <c r="N83" s="254"/>
      <c r="O83" s="254"/>
      <c r="P83" s="254"/>
      <c r="Q83" s="254"/>
      <c r="R83" s="254"/>
      <c r="S83" s="254"/>
      <c r="T83" s="254"/>
      <c r="U83" s="254"/>
      <c r="V83" s="254"/>
      <c r="W83" s="254"/>
      <c r="X83" s="254"/>
      <c r="Y83" s="254"/>
      <c r="Z83" s="254"/>
      <c r="AA83" s="254"/>
      <c r="AB83" s="254"/>
      <c r="AC83" s="254"/>
    </row>
    <row r="84" spans="1:29" x14ac:dyDescent="0.35">
      <c r="A84" s="254"/>
      <c r="B84" s="254"/>
      <c r="C84" s="254"/>
      <c r="D84" s="254"/>
      <c r="E84" s="254"/>
      <c r="F84" s="254"/>
      <c r="G84" s="254"/>
      <c r="H84" s="254"/>
      <c r="I84" s="254"/>
      <c r="J84" s="254"/>
      <c r="K84" s="254"/>
      <c r="L84" s="254"/>
      <c r="M84" s="254"/>
      <c r="N84" s="254"/>
      <c r="O84" s="254"/>
      <c r="P84" s="254"/>
      <c r="Q84" s="254"/>
      <c r="R84" s="254"/>
      <c r="S84" s="254"/>
      <c r="T84" s="254"/>
      <c r="U84" s="254"/>
      <c r="V84" s="254"/>
      <c r="W84" s="254"/>
      <c r="X84" s="254"/>
      <c r="Y84" s="254"/>
      <c r="Z84" s="254"/>
      <c r="AA84" s="254"/>
      <c r="AB84" s="254"/>
      <c r="AC84" s="254"/>
    </row>
    <row r="85" spans="1:29" x14ac:dyDescent="0.35">
      <c r="A85" s="254"/>
      <c r="B85" s="254"/>
      <c r="C85" s="254"/>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row>
    <row r="86" spans="1:29" x14ac:dyDescent="0.35">
      <c r="A86" s="254"/>
      <c r="B86" s="254"/>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row>
    <row r="87" spans="1:29" x14ac:dyDescent="0.35">
      <c r="A87" s="254"/>
      <c r="B87" s="254"/>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c r="AA87" s="254"/>
      <c r="AB87" s="254"/>
      <c r="AC87" s="254"/>
    </row>
    <row r="88" spans="1:29" x14ac:dyDescent="0.35">
      <c r="A88" s="254"/>
      <c r="B88" s="254"/>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row>
    <row r="89" spans="1:29" x14ac:dyDescent="0.35">
      <c r="A89" s="254"/>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row>
    <row r="90" spans="1:29" x14ac:dyDescent="0.35">
      <c r="A90" s="254"/>
      <c r="B90" s="254"/>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c r="AA90" s="254"/>
      <c r="AB90" s="254"/>
      <c r="AC90" s="254"/>
    </row>
    <row r="91" spans="1:29" x14ac:dyDescent="0.35">
      <c r="A91" s="254"/>
      <c r="B91" s="254"/>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row>
    <row r="92" spans="1:29" x14ac:dyDescent="0.35">
      <c r="A92" s="254"/>
      <c r="B92" s="254"/>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row>
    <row r="93" spans="1:29" x14ac:dyDescent="0.35">
      <c r="A93" s="254"/>
      <c r="B93" s="254"/>
      <c r="C93" s="254"/>
      <c r="D93" s="254"/>
      <c r="E93" s="254"/>
      <c r="F93" s="254"/>
      <c r="G93" s="254"/>
      <c r="H93" s="254"/>
      <c r="I93" s="254"/>
      <c r="J93" s="254"/>
      <c r="K93" s="254"/>
      <c r="L93" s="254"/>
      <c r="M93" s="254"/>
      <c r="N93" s="254"/>
      <c r="O93" s="254"/>
      <c r="P93" s="254"/>
      <c r="Q93" s="254"/>
      <c r="R93" s="254"/>
      <c r="S93" s="254"/>
      <c r="T93" s="254"/>
      <c r="U93" s="254"/>
      <c r="V93" s="254"/>
      <c r="W93" s="254"/>
      <c r="X93" s="254"/>
      <c r="Y93" s="254"/>
      <c r="Z93" s="254"/>
      <c r="AA93" s="254"/>
      <c r="AB93" s="254"/>
      <c r="AC93" s="254"/>
    </row>
    <row r="94" spans="1:29" x14ac:dyDescent="0.35">
      <c r="A94" s="254"/>
      <c r="B94" s="254"/>
      <c r="C94" s="254"/>
      <c r="D94" s="254"/>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row>
    <row r="95" spans="1:29" x14ac:dyDescent="0.35">
      <c r="A95" s="254"/>
      <c r="B95" s="254"/>
      <c r="C95" s="254"/>
      <c r="D95" s="254"/>
      <c r="E95" s="254"/>
      <c r="F95" s="254"/>
      <c r="G95" s="254"/>
      <c r="H95" s="254"/>
      <c r="I95" s="254"/>
      <c r="J95" s="254"/>
      <c r="K95" s="254"/>
      <c r="L95" s="254"/>
      <c r="M95" s="254"/>
      <c r="N95" s="254"/>
      <c r="O95" s="254"/>
      <c r="P95" s="254"/>
      <c r="Q95" s="254"/>
      <c r="R95" s="254"/>
      <c r="S95" s="254"/>
      <c r="T95" s="254"/>
      <c r="U95" s="254"/>
      <c r="V95" s="254"/>
      <c r="W95" s="254"/>
      <c r="X95" s="254"/>
      <c r="Y95" s="254"/>
      <c r="Z95" s="254"/>
      <c r="AA95" s="254"/>
      <c r="AB95" s="254"/>
      <c r="AC95" s="254"/>
    </row>
    <row r="96" spans="1:29" x14ac:dyDescent="0.35">
      <c r="A96" s="254"/>
      <c r="B96" s="254"/>
      <c r="C96" s="254"/>
      <c r="D96" s="254"/>
      <c r="E96" s="254"/>
      <c r="F96" s="254"/>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row>
    <row r="97" spans="1:29" x14ac:dyDescent="0.35">
      <c r="A97" s="254"/>
      <c r="B97" s="254"/>
      <c r="C97" s="254"/>
      <c r="D97" s="254"/>
      <c r="E97" s="254"/>
      <c r="F97" s="254"/>
      <c r="G97" s="254"/>
      <c r="H97" s="254"/>
      <c r="I97" s="254"/>
      <c r="J97" s="254"/>
      <c r="K97" s="254"/>
      <c r="L97" s="254"/>
      <c r="M97" s="254"/>
      <c r="N97" s="254"/>
      <c r="O97" s="254"/>
      <c r="P97" s="254"/>
      <c r="Q97" s="254"/>
      <c r="R97" s="254"/>
      <c r="S97" s="254"/>
      <c r="T97" s="254"/>
      <c r="U97" s="254"/>
      <c r="V97" s="254"/>
      <c r="W97" s="254"/>
      <c r="X97" s="254"/>
      <c r="Y97" s="254"/>
      <c r="Z97" s="254"/>
      <c r="AA97" s="254"/>
      <c r="AB97" s="254"/>
      <c r="AC97" s="254"/>
    </row>
    <row r="98" spans="1:29" x14ac:dyDescent="0.35">
      <c r="A98" s="254"/>
      <c r="B98" s="254"/>
      <c r="C98" s="254"/>
      <c r="D98" s="254"/>
      <c r="E98" s="254"/>
      <c r="F98" s="254"/>
      <c r="G98" s="254"/>
      <c r="H98" s="254"/>
      <c r="I98" s="254"/>
      <c r="J98" s="254"/>
      <c r="K98" s="254"/>
      <c r="L98" s="254"/>
      <c r="M98" s="254"/>
      <c r="N98" s="254"/>
      <c r="O98" s="254"/>
      <c r="P98" s="254"/>
      <c r="Q98" s="254"/>
      <c r="R98" s="254"/>
      <c r="S98" s="254"/>
      <c r="T98" s="254"/>
      <c r="U98" s="254"/>
      <c r="V98" s="254"/>
      <c r="W98" s="254"/>
      <c r="X98" s="254"/>
      <c r="Y98" s="254"/>
      <c r="Z98" s="254"/>
      <c r="AA98" s="254"/>
      <c r="AB98" s="254"/>
      <c r="AC98" s="254"/>
    </row>
    <row r="99" spans="1:29" x14ac:dyDescent="0.35">
      <c r="A99" s="254"/>
      <c r="B99" s="254"/>
      <c r="C99" s="254"/>
      <c r="D99" s="254"/>
      <c r="E99" s="254"/>
      <c r="F99" s="254"/>
      <c r="G99" s="254"/>
      <c r="H99" s="254"/>
      <c r="I99" s="254"/>
      <c r="J99" s="254"/>
      <c r="K99" s="254"/>
      <c r="L99" s="254"/>
      <c r="M99" s="254"/>
      <c r="N99" s="254"/>
      <c r="O99" s="254"/>
      <c r="P99" s="254"/>
      <c r="Q99" s="254"/>
      <c r="R99" s="254"/>
      <c r="S99" s="254"/>
      <c r="T99" s="254"/>
      <c r="U99" s="254"/>
      <c r="V99" s="254"/>
      <c r="W99" s="254"/>
      <c r="X99" s="254"/>
      <c r="Y99" s="254"/>
      <c r="Z99" s="254"/>
      <c r="AA99" s="254"/>
      <c r="AB99" s="254"/>
      <c r="AC99" s="254"/>
    </row>
    <row r="100" spans="1:29" x14ac:dyDescent="0.35">
      <c r="A100" s="254"/>
      <c r="B100" s="254"/>
      <c r="C100" s="254"/>
      <c r="D100" s="254"/>
      <c r="E100" s="254"/>
      <c r="F100" s="254"/>
      <c r="G100" s="254"/>
      <c r="H100" s="254"/>
      <c r="I100" s="254"/>
      <c r="J100" s="254"/>
      <c r="K100" s="254"/>
      <c r="L100" s="254"/>
      <c r="M100" s="254"/>
      <c r="N100" s="254"/>
      <c r="O100" s="254"/>
      <c r="P100" s="254"/>
      <c r="Q100" s="254"/>
      <c r="R100" s="254"/>
      <c r="S100" s="254"/>
      <c r="T100" s="254"/>
      <c r="U100" s="254"/>
      <c r="V100" s="254"/>
      <c r="W100" s="254"/>
      <c r="X100" s="254"/>
      <c r="Y100" s="254"/>
      <c r="Z100" s="254"/>
      <c r="AA100" s="254"/>
      <c r="AB100" s="254"/>
      <c r="AC100" s="254"/>
    </row>
    <row r="101" spans="1:29" x14ac:dyDescent="0.35">
      <c r="A101" s="254"/>
      <c r="B101" s="254"/>
      <c r="C101" s="254"/>
      <c r="D101" s="254"/>
      <c r="E101" s="254"/>
      <c r="F101" s="254"/>
      <c r="G101" s="254"/>
      <c r="H101" s="254"/>
      <c r="I101" s="254"/>
      <c r="J101" s="254"/>
      <c r="K101" s="254"/>
      <c r="L101" s="254"/>
      <c r="M101" s="254"/>
      <c r="N101" s="254"/>
      <c r="O101" s="254"/>
      <c r="P101" s="254"/>
      <c r="Q101" s="254"/>
      <c r="R101" s="254"/>
      <c r="S101" s="254"/>
      <c r="T101" s="254"/>
      <c r="U101" s="254"/>
      <c r="V101" s="254"/>
      <c r="W101" s="254"/>
      <c r="X101" s="254"/>
      <c r="Y101" s="254"/>
      <c r="Z101" s="254"/>
      <c r="AA101" s="254"/>
      <c r="AB101" s="254"/>
      <c r="AC101" s="254"/>
    </row>
    <row r="102" spans="1:29" x14ac:dyDescent="0.35">
      <c r="A102" s="254"/>
      <c r="B102" s="254"/>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c r="AA102" s="254"/>
      <c r="AB102" s="254"/>
      <c r="AC102" s="254"/>
    </row>
    <row r="103" spans="1:29" x14ac:dyDescent="0.35">
      <c r="A103" s="254"/>
      <c r="B103" s="254"/>
      <c r="C103" s="254"/>
      <c r="D103" s="254"/>
      <c r="E103" s="254"/>
      <c r="F103" s="254"/>
      <c r="G103" s="254"/>
      <c r="H103" s="254"/>
      <c r="I103" s="254"/>
      <c r="J103" s="254"/>
      <c r="K103" s="254"/>
      <c r="L103" s="254"/>
      <c r="M103" s="254"/>
      <c r="N103" s="254"/>
      <c r="O103" s="254"/>
      <c r="P103" s="254"/>
      <c r="Q103" s="254"/>
      <c r="R103" s="254"/>
      <c r="S103" s="254"/>
      <c r="T103" s="254"/>
      <c r="U103" s="254"/>
      <c r="V103" s="254"/>
      <c r="W103" s="254"/>
      <c r="X103" s="254"/>
      <c r="Y103" s="254"/>
      <c r="Z103" s="254"/>
      <c r="AA103" s="254"/>
      <c r="AB103" s="254"/>
      <c r="AC103" s="254"/>
    </row>
    <row r="104" spans="1:29" x14ac:dyDescent="0.35">
      <c r="A104" s="254"/>
      <c r="B104" s="254"/>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4"/>
      <c r="AB104" s="254"/>
      <c r="AC104" s="254"/>
    </row>
    <row r="105" spans="1:29" x14ac:dyDescent="0.35">
      <c r="A105" s="254"/>
      <c r="B105" s="254"/>
      <c r="C105" s="254"/>
      <c r="D105" s="254"/>
      <c r="E105" s="254"/>
      <c r="F105" s="254"/>
      <c r="G105" s="254"/>
      <c r="H105" s="254"/>
      <c r="I105" s="254"/>
      <c r="J105" s="254"/>
      <c r="K105" s="254"/>
      <c r="L105" s="254"/>
      <c r="M105" s="254"/>
      <c r="N105" s="254"/>
      <c r="O105" s="254"/>
      <c r="P105" s="254"/>
      <c r="Q105" s="254"/>
      <c r="R105" s="254"/>
      <c r="S105" s="254"/>
      <c r="T105" s="254"/>
      <c r="U105" s="254"/>
      <c r="V105" s="254"/>
      <c r="W105" s="254"/>
      <c r="X105" s="254"/>
      <c r="Y105" s="254"/>
      <c r="Z105" s="254"/>
      <c r="AA105" s="254"/>
      <c r="AB105" s="254"/>
      <c r="AC105" s="254"/>
    </row>
    <row r="106" spans="1:29" x14ac:dyDescent="0.35">
      <c r="A106" s="254"/>
      <c r="B106" s="254"/>
      <c r="C106" s="254"/>
      <c r="D106" s="254"/>
      <c r="E106" s="254"/>
      <c r="F106" s="254"/>
      <c r="G106" s="254"/>
      <c r="H106" s="254"/>
      <c r="I106" s="254"/>
      <c r="J106" s="254"/>
      <c r="K106" s="254"/>
      <c r="L106" s="254"/>
      <c r="M106" s="254"/>
      <c r="N106" s="254"/>
      <c r="O106" s="254"/>
      <c r="P106" s="254"/>
      <c r="Q106" s="254"/>
      <c r="R106" s="254"/>
      <c r="S106" s="254"/>
      <c r="T106" s="254"/>
      <c r="U106" s="254"/>
      <c r="V106" s="254"/>
      <c r="W106" s="254"/>
      <c r="X106" s="254"/>
      <c r="Y106" s="254"/>
      <c r="Z106" s="254"/>
      <c r="AA106" s="254"/>
      <c r="AB106" s="254"/>
      <c r="AC106" s="254"/>
    </row>
    <row r="107" spans="1:29" x14ac:dyDescent="0.35">
      <c r="A107" s="254"/>
      <c r="B107" s="254"/>
      <c r="C107" s="254"/>
      <c r="D107" s="254"/>
      <c r="E107" s="254"/>
      <c r="F107" s="254"/>
      <c r="G107" s="254"/>
      <c r="H107" s="254"/>
      <c r="I107" s="254"/>
      <c r="J107" s="254"/>
      <c r="K107" s="254"/>
      <c r="L107" s="254"/>
      <c r="M107" s="254"/>
      <c r="N107" s="254"/>
      <c r="O107" s="254"/>
      <c r="P107" s="254"/>
      <c r="Q107" s="254"/>
      <c r="R107" s="254"/>
      <c r="S107" s="254"/>
      <c r="T107" s="254"/>
      <c r="U107" s="254"/>
      <c r="V107" s="254"/>
      <c r="W107" s="254"/>
      <c r="X107" s="254"/>
      <c r="Y107" s="254"/>
      <c r="Z107" s="254"/>
      <c r="AA107" s="254"/>
      <c r="AB107" s="254"/>
      <c r="AC107" s="254"/>
    </row>
    <row r="108" spans="1:29" x14ac:dyDescent="0.35">
      <c r="A108" s="254"/>
      <c r="B108" s="254"/>
      <c r="C108" s="254"/>
      <c r="D108" s="254"/>
      <c r="E108" s="254"/>
      <c r="F108" s="254"/>
      <c r="G108" s="254"/>
      <c r="H108" s="254"/>
      <c r="I108" s="254"/>
      <c r="J108" s="254"/>
      <c r="K108" s="254"/>
      <c r="L108" s="254"/>
      <c r="M108" s="254"/>
      <c r="N108" s="254"/>
      <c r="O108" s="254"/>
      <c r="P108" s="254"/>
      <c r="Q108" s="254"/>
      <c r="R108" s="254"/>
      <c r="S108" s="254"/>
      <c r="T108" s="254"/>
      <c r="U108" s="254"/>
      <c r="V108" s="254"/>
      <c r="W108" s="254"/>
      <c r="X108" s="254"/>
      <c r="Y108" s="254"/>
      <c r="Z108" s="254"/>
      <c r="AA108" s="254"/>
      <c r="AB108" s="254"/>
      <c r="AC108" s="254"/>
    </row>
    <row r="109" spans="1:29" x14ac:dyDescent="0.35">
      <c r="A109" s="254"/>
      <c r="B109" s="254"/>
      <c r="C109" s="254"/>
      <c r="D109" s="254"/>
      <c r="E109" s="254"/>
      <c r="F109" s="254"/>
      <c r="G109" s="254"/>
      <c r="H109" s="254"/>
      <c r="I109" s="254"/>
      <c r="J109" s="254"/>
      <c r="K109" s="254"/>
      <c r="L109" s="254"/>
      <c r="M109" s="254"/>
      <c r="N109" s="254"/>
      <c r="O109" s="254"/>
      <c r="P109" s="254"/>
      <c r="Q109" s="254"/>
      <c r="R109" s="254"/>
      <c r="S109" s="254"/>
      <c r="T109" s="254"/>
      <c r="U109" s="254"/>
      <c r="V109" s="254"/>
      <c r="W109" s="254"/>
      <c r="X109" s="254"/>
      <c r="Y109" s="254"/>
      <c r="Z109" s="254"/>
      <c r="AA109" s="254"/>
      <c r="AB109" s="254"/>
      <c r="AC109" s="254"/>
    </row>
    <row r="110" spans="1:29" x14ac:dyDescent="0.35">
      <c r="A110" s="254"/>
      <c r="B110" s="254"/>
      <c r="C110" s="254"/>
      <c r="D110" s="254"/>
      <c r="E110" s="254"/>
      <c r="F110" s="254"/>
      <c r="G110" s="254"/>
      <c r="H110" s="254"/>
      <c r="I110" s="254"/>
      <c r="J110" s="254"/>
      <c r="K110" s="254"/>
      <c r="L110" s="254"/>
      <c r="M110" s="254"/>
      <c r="N110" s="254"/>
      <c r="O110" s="254"/>
      <c r="P110" s="254"/>
      <c r="Q110" s="254"/>
      <c r="R110" s="254"/>
      <c r="S110" s="254"/>
      <c r="T110" s="254"/>
      <c r="U110" s="254"/>
      <c r="V110" s="254"/>
      <c r="W110" s="254"/>
      <c r="X110" s="254"/>
      <c r="Y110" s="254"/>
      <c r="Z110" s="254"/>
      <c r="AA110" s="254"/>
      <c r="AB110" s="254"/>
      <c r="AC110" s="254"/>
    </row>
    <row r="111" spans="1:29" x14ac:dyDescent="0.35">
      <c r="A111" s="254"/>
      <c r="B111" s="254"/>
      <c r="C111" s="254"/>
      <c r="D111" s="254"/>
      <c r="E111" s="254"/>
      <c r="F111" s="254"/>
      <c r="G111" s="254"/>
      <c r="H111" s="254"/>
      <c r="I111" s="254"/>
      <c r="J111" s="254"/>
      <c r="K111" s="254"/>
      <c r="L111" s="254"/>
      <c r="M111" s="254"/>
      <c r="N111" s="254"/>
      <c r="O111" s="254"/>
      <c r="P111" s="254"/>
      <c r="Q111" s="254"/>
      <c r="R111" s="254"/>
      <c r="S111" s="254"/>
      <c r="T111" s="254"/>
      <c r="U111" s="254"/>
      <c r="V111" s="254"/>
      <c r="W111" s="254"/>
      <c r="X111" s="254"/>
      <c r="Y111" s="254"/>
      <c r="Z111" s="254"/>
      <c r="AA111" s="254"/>
      <c r="AB111" s="254"/>
      <c r="AC111" s="254"/>
    </row>
    <row r="112" spans="1:29" x14ac:dyDescent="0.35">
      <c r="A112" s="254"/>
      <c r="B112" s="254"/>
      <c r="C112" s="254"/>
      <c r="D112" s="254"/>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c r="AA112" s="254"/>
      <c r="AB112" s="254"/>
      <c r="AC112" s="254"/>
    </row>
    <row r="113" spans="1:29" x14ac:dyDescent="0.35">
      <c r="A113" s="254"/>
      <c r="B113" s="254"/>
      <c r="C113" s="254"/>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row>
    <row r="114" spans="1:29" x14ac:dyDescent="0.35">
      <c r="A114" s="254"/>
      <c r="B114" s="254"/>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row>
    <row r="115" spans="1:29" x14ac:dyDescent="0.35">
      <c r="A115" s="254"/>
      <c r="B115" s="254"/>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row>
    <row r="116" spans="1:29" x14ac:dyDescent="0.35">
      <c r="A116" s="254"/>
      <c r="B116" s="254"/>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row>
    <row r="117" spans="1:29" x14ac:dyDescent="0.35">
      <c r="A117" s="254"/>
      <c r="B117" s="254"/>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row>
    <row r="118" spans="1:29" x14ac:dyDescent="0.35">
      <c r="A118" s="254"/>
      <c r="B118" s="254"/>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row>
    <row r="119" spans="1:29" x14ac:dyDescent="0.35">
      <c r="A119" s="254"/>
      <c r="B119" s="254"/>
      <c r="C119" s="254"/>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c r="AA119" s="254"/>
      <c r="AB119" s="254"/>
      <c r="AC119" s="254"/>
    </row>
    <row r="120" spans="1:29" x14ac:dyDescent="0.35">
      <c r="A120" s="254"/>
      <c r="B120" s="254"/>
      <c r="C120" s="254"/>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c r="Z120" s="254"/>
      <c r="AA120" s="254"/>
      <c r="AB120" s="254"/>
      <c r="AC120" s="254"/>
    </row>
    <row r="121" spans="1:29" x14ac:dyDescent="0.35">
      <c r="A121" s="254"/>
      <c r="B121" s="254"/>
      <c r="C121" s="254"/>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c r="Z121" s="254"/>
      <c r="AA121" s="254"/>
      <c r="AB121" s="254"/>
      <c r="AC121" s="254"/>
    </row>
    <row r="122" spans="1:29" x14ac:dyDescent="0.35">
      <c r="A122" s="254"/>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row>
    <row r="123" spans="1:29" x14ac:dyDescent="0.35">
      <c r="A123" s="254"/>
      <c r="B123" s="254"/>
      <c r="C123" s="254"/>
      <c r="D123" s="254"/>
      <c r="E123" s="254"/>
      <c r="F123" s="254"/>
      <c r="G123" s="254"/>
      <c r="H123" s="254"/>
      <c r="I123" s="254"/>
      <c r="J123" s="254"/>
      <c r="K123" s="254"/>
      <c r="L123" s="254"/>
      <c r="M123" s="254"/>
      <c r="N123" s="254"/>
      <c r="O123" s="254"/>
      <c r="P123" s="254"/>
      <c r="Q123" s="254"/>
      <c r="R123" s="254"/>
      <c r="S123" s="254"/>
      <c r="T123" s="254"/>
      <c r="U123" s="254"/>
      <c r="V123" s="254"/>
      <c r="W123" s="254"/>
      <c r="X123" s="254"/>
      <c r="Y123" s="254"/>
      <c r="Z123" s="254"/>
      <c r="AA123" s="254"/>
      <c r="AB123" s="254"/>
      <c r="AC123" s="254"/>
    </row>
    <row r="124" spans="1:29" x14ac:dyDescent="0.35">
      <c r="A124" s="254"/>
      <c r="B124" s="254"/>
      <c r="C124" s="254"/>
      <c r="D124" s="254"/>
      <c r="E124" s="254"/>
      <c r="F124" s="254"/>
      <c r="G124" s="254"/>
      <c r="H124" s="254"/>
      <c r="I124" s="254"/>
      <c r="J124" s="254"/>
      <c r="K124" s="254"/>
      <c r="L124" s="254"/>
      <c r="M124" s="254"/>
      <c r="N124" s="254"/>
      <c r="O124" s="254"/>
      <c r="P124" s="254"/>
      <c r="Q124" s="254"/>
      <c r="R124" s="254"/>
      <c r="S124" s="254"/>
      <c r="T124" s="254"/>
      <c r="U124" s="254"/>
      <c r="V124" s="254"/>
      <c r="W124" s="254"/>
      <c r="X124" s="254"/>
      <c r="Y124" s="254"/>
      <c r="Z124" s="254"/>
      <c r="AA124" s="254"/>
      <c r="AB124" s="254"/>
      <c r="AC124" s="254"/>
    </row>
    <row r="125" spans="1:29" x14ac:dyDescent="0.35">
      <c r="A125" s="254"/>
      <c r="B125" s="254"/>
      <c r="C125" s="254"/>
      <c r="D125" s="254"/>
      <c r="E125" s="254"/>
      <c r="F125" s="254"/>
      <c r="G125" s="254"/>
      <c r="H125" s="254"/>
      <c r="I125" s="254"/>
      <c r="J125" s="254"/>
      <c r="K125" s="254"/>
      <c r="L125" s="254"/>
      <c r="M125" s="254"/>
      <c r="N125" s="254"/>
      <c r="O125" s="254"/>
      <c r="P125" s="254"/>
      <c r="Q125" s="254"/>
      <c r="R125" s="254"/>
      <c r="S125" s="254"/>
      <c r="T125" s="254"/>
      <c r="U125" s="254"/>
      <c r="V125" s="254"/>
      <c r="W125" s="254"/>
      <c r="X125" s="254"/>
      <c r="Y125" s="254"/>
      <c r="Z125" s="254"/>
      <c r="AA125" s="254"/>
      <c r="AB125" s="254"/>
      <c r="AC125" s="254"/>
    </row>
    <row r="126" spans="1:29" x14ac:dyDescent="0.35">
      <c r="A126" s="254"/>
      <c r="B126" s="254"/>
      <c r="C126" s="254"/>
      <c r="D126" s="254"/>
      <c r="E126" s="254"/>
      <c r="F126" s="254"/>
      <c r="G126" s="254"/>
      <c r="H126" s="254"/>
      <c r="I126" s="254"/>
      <c r="J126" s="254"/>
      <c r="K126" s="254"/>
      <c r="L126" s="254"/>
      <c r="M126" s="254"/>
      <c r="N126" s="254"/>
      <c r="O126" s="254"/>
      <c r="P126" s="254"/>
      <c r="Q126" s="254"/>
      <c r="R126" s="254"/>
      <c r="S126" s="254"/>
      <c r="T126" s="254"/>
      <c r="U126" s="254"/>
      <c r="V126" s="254"/>
      <c r="W126" s="254"/>
      <c r="X126" s="254"/>
      <c r="Y126" s="254"/>
      <c r="Z126" s="254"/>
      <c r="AA126" s="254"/>
      <c r="AB126" s="254"/>
      <c r="AC126" s="254"/>
    </row>
    <row r="127" spans="1:29" x14ac:dyDescent="0.35">
      <c r="A127" s="254"/>
      <c r="B127" s="254"/>
      <c r="C127" s="254"/>
      <c r="D127" s="254"/>
      <c r="E127" s="254"/>
      <c r="F127" s="254"/>
      <c r="G127" s="254"/>
      <c r="H127" s="254"/>
      <c r="I127" s="254"/>
      <c r="J127" s="254"/>
      <c r="K127" s="254"/>
      <c r="L127" s="254"/>
      <c r="M127" s="254"/>
      <c r="N127" s="254"/>
      <c r="O127" s="254"/>
      <c r="P127" s="254"/>
      <c r="Q127" s="254"/>
      <c r="R127" s="254"/>
      <c r="S127" s="254"/>
      <c r="T127" s="254"/>
      <c r="U127" s="254"/>
      <c r="V127" s="254"/>
      <c r="W127" s="254"/>
      <c r="X127" s="254"/>
      <c r="Y127" s="254"/>
      <c r="Z127" s="254"/>
      <c r="AA127" s="254"/>
      <c r="AB127" s="254"/>
      <c r="AC127" s="254"/>
    </row>
    <row r="128" spans="1:29" x14ac:dyDescent="0.35">
      <c r="A128" s="254"/>
      <c r="B128" s="254"/>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row>
    <row r="129" spans="1:29" x14ac:dyDescent="0.35">
      <c r="A129" s="254"/>
      <c r="B129" s="254"/>
      <c r="C129" s="254"/>
      <c r="D129" s="254"/>
      <c r="E129" s="254"/>
      <c r="F129" s="254"/>
      <c r="G129" s="254"/>
      <c r="H129" s="254"/>
      <c r="I129" s="254"/>
      <c r="J129" s="254"/>
      <c r="K129" s="254"/>
      <c r="L129" s="254"/>
      <c r="M129" s="254"/>
      <c r="N129" s="254"/>
      <c r="O129" s="254"/>
      <c r="P129" s="254"/>
      <c r="Q129" s="254"/>
      <c r="R129" s="254"/>
      <c r="S129" s="254"/>
      <c r="T129" s="254"/>
      <c r="U129" s="254"/>
      <c r="V129" s="254"/>
      <c r="W129" s="254"/>
      <c r="X129" s="254"/>
      <c r="Y129" s="254"/>
      <c r="Z129" s="254"/>
      <c r="AA129" s="254"/>
      <c r="AB129" s="254"/>
      <c r="AC129" s="254"/>
    </row>
    <row r="130" spans="1:29" x14ac:dyDescent="0.35">
      <c r="A130" s="254"/>
      <c r="B130" s="254"/>
      <c r="C130" s="254"/>
      <c r="D130" s="254"/>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c r="AA130" s="254"/>
      <c r="AB130" s="254"/>
      <c r="AC130" s="254"/>
    </row>
    <row r="131" spans="1:29" x14ac:dyDescent="0.35">
      <c r="A131" s="254"/>
      <c r="B131" s="254"/>
      <c r="C131" s="254"/>
      <c r="D131" s="254"/>
      <c r="E131" s="254"/>
      <c r="F131" s="254"/>
      <c r="G131" s="254"/>
      <c r="H131" s="254"/>
      <c r="I131" s="254"/>
      <c r="J131" s="254"/>
      <c r="K131" s="254"/>
      <c r="L131" s="254"/>
      <c r="M131" s="254"/>
      <c r="N131" s="254"/>
      <c r="O131" s="254"/>
      <c r="P131" s="254"/>
      <c r="Q131" s="254"/>
      <c r="R131" s="254"/>
      <c r="S131" s="254"/>
      <c r="T131" s="254"/>
      <c r="U131" s="254"/>
      <c r="V131" s="254"/>
      <c r="W131" s="254"/>
      <c r="X131" s="254"/>
      <c r="Y131" s="254"/>
      <c r="Z131" s="254"/>
      <c r="AA131" s="254"/>
      <c r="AB131" s="254"/>
      <c r="AC131" s="254"/>
    </row>
    <row r="132" spans="1:29" x14ac:dyDescent="0.35">
      <c r="A132" s="254"/>
      <c r="B132" s="254"/>
      <c r="C132" s="254"/>
      <c r="D132" s="254"/>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row>
    <row r="133" spans="1:29" x14ac:dyDescent="0.35">
      <c r="A133" s="254"/>
      <c r="B133" s="254"/>
      <c r="C133" s="254"/>
      <c r="D133" s="254"/>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c r="AA133" s="254"/>
      <c r="AB133" s="254"/>
      <c r="AC133" s="254"/>
    </row>
    <row r="134" spans="1:29" x14ac:dyDescent="0.35">
      <c r="A134" s="254"/>
      <c r="B134" s="254"/>
      <c r="C134" s="254"/>
      <c r="D134" s="254"/>
      <c r="E134" s="254"/>
      <c r="F134" s="254"/>
      <c r="G134" s="254"/>
      <c r="H134" s="254"/>
      <c r="I134" s="254"/>
      <c r="J134" s="254"/>
      <c r="K134" s="254"/>
      <c r="L134" s="254"/>
      <c r="M134" s="254"/>
      <c r="N134" s="254"/>
      <c r="O134" s="254"/>
      <c r="P134" s="254"/>
      <c r="Q134" s="254"/>
      <c r="R134" s="254"/>
      <c r="S134" s="254"/>
      <c r="T134" s="254"/>
      <c r="U134" s="254"/>
      <c r="V134" s="254"/>
      <c r="W134" s="254"/>
      <c r="X134" s="254"/>
      <c r="Y134" s="254"/>
      <c r="Z134" s="254"/>
      <c r="AA134" s="254"/>
      <c r="AB134" s="254"/>
      <c r="AC134" s="254"/>
    </row>
    <row r="135" spans="1:29" x14ac:dyDescent="0.35">
      <c r="A135" s="254"/>
      <c r="B135" s="254"/>
      <c r="C135" s="254"/>
      <c r="D135" s="254"/>
      <c r="E135" s="254"/>
      <c r="F135" s="254"/>
      <c r="G135" s="254"/>
      <c r="H135" s="254"/>
      <c r="I135" s="254"/>
      <c r="J135" s="254"/>
      <c r="K135" s="254"/>
      <c r="L135" s="254"/>
      <c r="M135" s="254"/>
      <c r="N135" s="254"/>
      <c r="O135" s="254"/>
      <c r="P135" s="254"/>
      <c r="Q135" s="254"/>
      <c r="R135" s="254"/>
      <c r="S135" s="254"/>
      <c r="T135" s="254"/>
      <c r="U135" s="254"/>
      <c r="V135" s="254"/>
      <c r="W135" s="254"/>
      <c r="X135" s="254"/>
      <c r="Y135" s="254"/>
      <c r="Z135" s="254"/>
      <c r="AA135" s="254"/>
      <c r="AB135" s="254"/>
      <c r="AC135" s="254"/>
    </row>
    <row r="136" spans="1:29" x14ac:dyDescent="0.35">
      <c r="A136" s="254"/>
      <c r="B136" s="254"/>
      <c r="C136" s="254"/>
      <c r="D136" s="254"/>
      <c r="E136" s="254"/>
      <c r="F136" s="254"/>
      <c r="G136" s="254"/>
      <c r="H136" s="254"/>
      <c r="I136" s="254"/>
      <c r="J136" s="254"/>
      <c r="K136" s="254"/>
      <c r="L136" s="254"/>
      <c r="M136" s="254"/>
      <c r="N136" s="254"/>
      <c r="O136" s="254"/>
      <c r="P136" s="254"/>
      <c r="Q136" s="254"/>
      <c r="R136" s="254"/>
      <c r="S136" s="254"/>
      <c r="T136" s="254"/>
      <c r="U136" s="254"/>
      <c r="V136" s="254"/>
      <c r="W136" s="254"/>
      <c r="X136" s="254"/>
      <c r="Y136" s="254"/>
      <c r="Z136" s="254"/>
      <c r="AA136" s="254"/>
      <c r="AB136" s="254"/>
      <c r="AC136" s="254"/>
    </row>
    <row r="137" spans="1:29" x14ac:dyDescent="0.35">
      <c r="A137" s="254"/>
      <c r="B137" s="254"/>
      <c r="C137" s="254"/>
      <c r="D137" s="254"/>
      <c r="E137" s="254"/>
      <c r="F137" s="254"/>
      <c r="G137" s="254"/>
      <c r="H137" s="254"/>
      <c r="I137" s="254"/>
      <c r="J137" s="254"/>
      <c r="K137" s="254"/>
      <c r="L137" s="254"/>
      <c r="M137" s="254"/>
      <c r="N137" s="254"/>
      <c r="O137" s="254"/>
      <c r="P137" s="254"/>
      <c r="Q137" s="254"/>
      <c r="R137" s="254"/>
      <c r="S137" s="254"/>
      <c r="T137" s="254"/>
      <c r="U137" s="254"/>
      <c r="V137" s="254"/>
      <c r="W137" s="254"/>
      <c r="X137" s="254"/>
      <c r="Y137" s="254"/>
      <c r="Z137" s="254"/>
      <c r="AA137" s="254"/>
      <c r="AB137" s="254"/>
      <c r="AC137" s="254"/>
    </row>
    <row r="138" spans="1:29" x14ac:dyDescent="0.35">
      <c r="A138" s="254"/>
      <c r="B138" s="254"/>
      <c r="C138" s="254"/>
      <c r="D138" s="254"/>
      <c r="E138" s="254"/>
      <c r="F138" s="254"/>
      <c r="G138" s="254"/>
      <c r="H138" s="254"/>
      <c r="I138" s="254"/>
      <c r="J138" s="254"/>
      <c r="K138" s="254"/>
      <c r="L138" s="254"/>
      <c r="M138" s="254"/>
      <c r="N138" s="254"/>
      <c r="O138" s="254"/>
      <c r="P138" s="254"/>
      <c r="Q138" s="254"/>
      <c r="R138" s="254"/>
      <c r="S138" s="254"/>
      <c r="T138" s="254"/>
      <c r="U138" s="254"/>
      <c r="V138" s="254"/>
      <c r="W138" s="254"/>
      <c r="X138" s="254"/>
      <c r="Y138" s="254"/>
      <c r="Z138" s="254"/>
      <c r="AA138" s="254"/>
      <c r="AB138" s="254"/>
      <c r="AC138" s="254"/>
    </row>
    <row r="139" spans="1:29" x14ac:dyDescent="0.35">
      <c r="A139" s="254"/>
      <c r="B139" s="254"/>
      <c r="C139" s="254"/>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row>
    <row r="140" spans="1:29" x14ac:dyDescent="0.35">
      <c r="A140" s="254"/>
      <c r="B140" s="254"/>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row>
    <row r="141" spans="1:29" x14ac:dyDescent="0.35">
      <c r="A141" s="254"/>
      <c r="B141" s="254"/>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c r="AA141" s="254"/>
      <c r="AB141" s="254"/>
      <c r="AC141" s="254"/>
    </row>
    <row r="142" spans="1:29" x14ac:dyDescent="0.35">
      <c r="A142" s="254"/>
      <c r="B142" s="254"/>
      <c r="C142" s="254"/>
      <c r="D142" s="254"/>
      <c r="E142" s="254"/>
      <c r="F142" s="254"/>
      <c r="G142" s="254"/>
      <c r="H142" s="254"/>
      <c r="I142" s="254"/>
      <c r="J142" s="254"/>
      <c r="K142" s="254"/>
      <c r="L142" s="254"/>
      <c r="M142" s="254"/>
      <c r="N142" s="254"/>
      <c r="O142" s="254"/>
      <c r="P142" s="254"/>
      <c r="Q142" s="254"/>
      <c r="R142" s="254"/>
      <c r="S142" s="254"/>
      <c r="T142" s="254"/>
      <c r="U142" s="254"/>
      <c r="V142" s="254"/>
      <c r="W142" s="254"/>
      <c r="X142" s="254"/>
      <c r="Y142" s="254"/>
      <c r="Z142" s="254"/>
      <c r="AA142" s="254"/>
      <c r="AB142" s="254"/>
      <c r="AC142" s="254"/>
    </row>
    <row r="143" spans="1:29" x14ac:dyDescent="0.35">
      <c r="A143" s="254"/>
      <c r="B143" s="254"/>
      <c r="C143" s="254"/>
      <c r="D143" s="254"/>
      <c r="E143" s="254"/>
      <c r="F143" s="254"/>
      <c r="G143" s="254"/>
      <c r="H143" s="254"/>
      <c r="I143" s="254"/>
      <c r="J143" s="254"/>
      <c r="K143" s="254"/>
      <c r="L143" s="254"/>
      <c r="M143" s="254"/>
      <c r="N143" s="254"/>
      <c r="O143" s="254"/>
      <c r="P143" s="254"/>
      <c r="Q143" s="254"/>
      <c r="R143" s="254"/>
      <c r="S143" s="254"/>
      <c r="T143" s="254"/>
      <c r="U143" s="254"/>
      <c r="V143" s="254"/>
      <c r="W143" s="254"/>
      <c r="X143" s="254"/>
      <c r="Y143" s="254"/>
      <c r="Z143" s="254"/>
      <c r="AA143" s="254"/>
      <c r="AB143" s="254"/>
      <c r="AC143" s="254"/>
    </row>
    <row r="144" spans="1:29" x14ac:dyDescent="0.35">
      <c r="A144" s="254"/>
      <c r="B144" s="254"/>
      <c r="C144" s="254"/>
      <c r="D144" s="254"/>
      <c r="E144" s="254"/>
      <c r="F144" s="254"/>
      <c r="G144" s="254"/>
      <c r="H144" s="254"/>
      <c r="I144" s="254"/>
      <c r="J144" s="254"/>
      <c r="K144" s="254"/>
      <c r="L144" s="254"/>
      <c r="M144" s="254"/>
      <c r="N144" s="254"/>
      <c r="O144" s="254"/>
      <c r="P144" s="254"/>
      <c r="Q144" s="254"/>
      <c r="R144" s="254"/>
      <c r="S144" s="254"/>
      <c r="T144" s="254"/>
      <c r="U144" s="254"/>
      <c r="V144" s="254"/>
      <c r="W144" s="254"/>
      <c r="X144" s="254"/>
      <c r="Y144" s="254"/>
      <c r="Z144" s="254"/>
      <c r="AA144" s="254"/>
      <c r="AB144" s="254"/>
      <c r="AC144" s="254"/>
    </row>
    <row r="145" spans="1:29" x14ac:dyDescent="0.35">
      <c r="A145" s="254"/>
      <c r="B145" s="254"/>
      <c r="C145" s="254"/>
      <c r="D145" s="254"/>
      <c r="E145" s="254"/>
      <c r="F145" s="254"/>
      <c r="G145" s="254"/>
      <c r="H145" s="254"/>
      <c r="I145" s="254"/>
      <c r="J145" s="254"/>
      <c r="K145" s="254"/>
      <c r="L145" s="254"/>
      <c r="M145" s="254"/>
      <c r="N145" s="254"/>
      <c r="O145" s="254"/>
      <c r="P145" s="254"/>
      <c r="Q145" s="254"/>
      <c r="R145" s="254"/>
      <c r="S145" s="254"/>
      <c r="T145" s="254"/>
      <c r="U145" s="254"/>
      <c r="V145" s="254"/>
      <c r="W145" s="254"/>
      <c r="X145" s="254"/>
      <c r="Y145" s="254"/>
      <c r="Z145" s="254"/>
      <c r="AA145" s="254"/>
      <c r="AB145" s="254"/>
      <c r="AC145" s="254"/>
    </row>
    <row r="146" spans="1:29" x14ac:dyDescent="0.35">
      <c r="A146" s="254"/>
      <c r="B146" s="254"/>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row>
    <row r="147" spans="1:29" x14ac:dyDescent="0.35">
      <c r="A147" s="254"/>
      <c r="B147" s="254"/>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c r="AA147" s="254"/>
      <c r="AB147" s="254"/>
      <c r="AC147" s="254"/>
    </row>
    <row r="148" spans="1:29" x14ac:dyDescent="0.35">
      <c r="A148" s="254"/>
      <c r="B148" s="254"/>
      <c r="C148" s="254"/>
      <c r="D148" s="254"/>
      <c r="E148" s="254"/>
      <c r="F148" s="254"/>
      <c r="G148" s="254"/>
      <c r="H148" s="254"/>
      <c r="I148" s="254"/>
      <c r="J148" s="254"/>
      <c r="K148" s="254"/>
      <c r="L148" s="254"/>
      <c r="M148" s="254"/>
      <c r="N148" s="254"/>
      <c r="O148" s="254"/>
      <c r="P148" s="254"/>
      <c r="Q148" s="254"/>
      <c r="R148" s="254"/>
      <c r="S148" s="254"/>
      <c r="T148" s="254"/>
      <c r="U148" s="254"/>
      <c r="V148" s="254"/>
      <c r="W148" s="254"/>
      <c r="X148" s="254"/>
      <c r="Y148" s="254"/>
      <c r="Z148" s="254"/>
      <c r="AA148" s="254"/>
      <c r="AB148" s="254"/>
      <c r="AC148" s="254"/>
    </row>
    <row r="149" spans="1:29" x14ac:dyDescent="0.35">
      <c r="A149" s="254"/>
      <c r="B149" s="254"/>
      <c r="C149" s="254"/>
      <c r="D149" s="254"/>
      <c r="E149" s="254"/>
      <c r="F149" s="254"/>
      <c r="G149" s="254"/>
      <c r="H149" s="254"/>
      <c r="I149" s="254"/>
      <c r="J149" s="254"/>
      <c r="K149" s="254"/>
      <c r="L149" s="254"/>
      <c r="M149" s="254"/>
      <c r="N149" s="254"/>
      <c r="O149" s="254"/>
      <c r="P149" s="254"/>
      <c r="Q149" s="254"/>
      <c r="R149" s="254"/>
      <c r="S149" s="254"/>
      <c r="T149" s="254"/>
      <c r="U149" s="254"/>
      <c r="V149" s="254"/>
      <c r="W149" s="254"/>
      <c r="X149" s="254"/>
      <c r="Y149" s="254"/>
      <c r="Z149" s="254"/>
      <c r="AA149" s="254"/>
      <c r="AB149" s="254"/>
      <c r="AC149" s="254"/>
    </row>
    <row r="150" spans="1:29" x14ac:dyDescent="0.35">
      <c r="A150" s="254"/>
      <c r="B150" s="254"/>
      <c r="C150" s="254"/>
      <c r="D150" s="254"/>
      <c r="E150" s="254"/>
      <c r="F150" s="254"/>
      <c r="G150" s="254"/>
      <c r="H150" s="254"/>
      <c r="I150" s="254"/>
      <c r="J150" s="254"/>
      <c r="K150" s="254"/>
      <c r="L150" s="254"/>
      <c r="M150" s="254"/>
      <c r="N150" s="254"/>
      <c r="O150" s="254"/>
      <c r="P150" s="254"/>
      <c r="Q150" s="254"/>
      <c r="R150" s="254"/>
      <c r="S150" s="254"/>
      <c r="T150" s="254"/>
      <c r="U150" s="254"/>
      <c r="V150" s="254"/>
      <c r="W150" s="254"/>
      <c r="X150" s="254"/>
      <c r="Y150" s="254"/>
      <c r="Z150" s="254"/>
      <c r="AA150" s="254"/>
      <c r="AB150" s="254"/>
      <c r="AC150" s="254"/>
    </row>
    <row r="151" spans="1:29" x14ac:dyDescent="0.35">
      <c r="A151" s="254"/>
      <c r="B151" s="254"/>
      <c r="C151" s="254"/>
      <c r="D151" s="254"/>
      <c r="E151" s="254"/>
      <c r="F151" s="254"/>
      <c r="G151" s="254"/>
      <c r="H151" s="254"/>
      <c r="I151" s="254"/>
      <c r="J151" s="254"/>
      <c r="K151" s="254"/>
      <c r="L151" s="254"/>
      <c r="M151" s="254"/>
      <c r="N151" s="254"/>
      <c r="O151" s="254"/>
      <c r="P151" s="254"/>
      <c r="Q151" s="254"/>
      <c r="R151" s="254"/>
      <c r="S151" s="254"/>
      <c r="T151" s="254"/>
      <c r="U151" s="254"/>
      <c r="V151" s="254"/>
      <c r="W151" s="254"/>
      <c r="X151" s="254"/>
      <c r="Y151" s="254"/>
      <c r="Z151" s="254"/>
      <c r="AA151" s="254"/>
      <c r="AB151" s="254"/>
    </row>
    <row r="152" spans="1:29" x14ac:dyDescent="0.35">
      <c r="A152" s="254"/>
      <c r="B152" s="254"/>
      <c r="C152" s="254"/>
      <c r="D152" s="254"/>
      <c r="E152" s="254"/>
      <c r="F152" s="254"/>
      <c r="G152" s="254"/>
      <c r="H152" s="254"/>
      <c r="I152" s="254"/>
      <c r="J152" s="254"/>
      <c r="K152" s="254"/>
      <c r="L152" s="254"/>
      <c r="M152" s="254"/>
      <c r="N152" s="254"/>
      <c r="O152" s="254"/>
      <c r="P152" s="254"/>
      <c r="Q152" s="254"/>
      <c r="R152" s="254"/>
      <c r="S152" s="254"/>
      <c r="T152" s="254"/>
      <c r="U152" s="254"/>
      <c r="V152" s="254"/>
      <c r="W152" s="254"/>
      <c r="X152" s="254"/>
      <c r="Y152" s="254"/>
      <c r="Z152" s="254"/>
      <c r="AA152" s="254"/>
      <c r="AB152" s="254"/>
    </row>
    <row r="153" spans="1:29" x14ac:dyDescent="0.35">
      <c r="A153" s="254"/>
      <c r="B153" s="254"/>
      <c r="C153" s="254"/>
      <c r="D153" s="254"/>
      <c r="E153" s="254"/>
      <c r="F153" s="254"/>
      <c r="G153" s="254"/>
      <c r="H153" s="254"/>
      <c r="I153" s="254"/>
      <c r="J153" s="254"/>
      <c r="K153" s="254"/>
      <c r="L153" s="254"/>
      <c r="M153" s="254"/>
      <c r="N153" s="254"/>
      <c r="O153" s="254"/>
      <c r="P153" s="254"/>
      <c r="Q153" s="254"/>
      <c r="R153" s="254"/>
      <c r="S153" s="254"/>
      <c r="T153" s="254"/>
      <c r="U153" s="254"/>
      <c r="V153" s="254"/>
      <c r="W153" s="254"/>
      <c r="X153" s="254"/>
      <c r="Y153" s="254"/>
      <c r="Z153" s="254"/>
      <c r="AA153" s="254"/>
      <c r="AB153" s="254"/>
    </row>
    <row r="154" spans="1:29" x14ac:dyDescent="0.35">
      <c r="A154" s="254"/>
      <c r="B154" s="254"/>
      <c r="C154" s="254"/>
      <c r="D154" s="254"/>
      <c r="E154" s="254"/>
      <c r="F154" s="254"/>
      <c r="G154" s="254"/>
      <c r="H154" s="254"/>
      <c r="I154" s="254"/>
      <c r="J154" s="254"/>
      <c r="K154" s="254"/>
      <c r="L154" s="254"/>
      <c r="M154" s="254"/>
      <c r="N154" s="254"/>
      <c r="O154" s="254"/>
      <c r="P154" s="254"/>
      <c r="Q154" s="254"/>
      <c r="R154" s="254"/>
      <c r="S154" s="254"/>
      <c r="T154" s="254"/>
      <c r="U154" s="254"/>
      <c r="V154" s="254"/>
      <c r="W154" s="254"/>
      <c r="X154" s="254"/>
      <c r="Y154" s="254"/>
      <c r="Z154" s="254"/>
      <c r="AA154" s="254"/>
      <c r="AB154" s="254"/>
    </row>
    <row r="155" spans="1:29" x14ac:dyDescent="0.35">
      <c r="A155" s="254"/>
      <c r="B155" s="254"/>
      <c r="C155" s="254"/>
      <c r="D155" s="254"/>
      <c r="E155" s="254"/>
      <c r="F155" s="254"/>
      <c r="G155" s="254"/>
      <c r="H155" s="254"/>
      <c r="I155" s="254"/>
      <c r="J155" s="254"/>
      <c r="K155" s="254"/>
      <c r="L155" s="254"/>
      <c r="M155" s="254"/>
      <c r="N155" s="254"/>
      <c r="O155" s="254"/>
      <c r="P155" s="254"/>
      <c r="Q155" s="254"/>
      <c r="R155" s="254"/>
      <c r="S155" s="254"/>
      <c r="T155" s="254"/>
      <c r="U155" s="254"/>
      <c r="V155" s="254"/>
      <c r="W155" s="254"/>
      <c r="X155" s="254"/>
      <c r="Y155" s="254"/>
      <c r="Z155" s="254"/>
      <c r="AA155" s="254"/>
      <c r="AB155" s="254"/>
    </row>
    <row r="156" spans="1:29" x14ac:dyDescent="0.35">
      <c r="A156" s="254"/>
      <c r="B156" s="254"/>
      <c r="C156" s="254"/>
      <c r="D156" s="254"/>
      <c r="E156" s="254"/>
      <c r="F156" s="254"/>
      <c r="G156" s="254"/>
      <c r="H156" s="254"/>
      <c r="I156" s="254"/>
      <c r="J156" s="254"/>
      <c r="K156" s="254"/>
      <c r="L156" s="254"/>
      <c r="M156" s="254"/>
      <c r="N156" s="254"/>
      <c r="O156" s="254"/>
      <c r="P156" s="254"/>
      <c r="Q156" s="254"/>
      <c r="R156" s="254"/>
      <c r="S156" s="254"/>
      <c r="T156" s="254"/>
      <c r="U156" s="254"/>
      <c r="V156" s="254"/>
      <c r="W156" s="254"/>
      <c r="X156" s="254"/>
      <c r="Y156" s="254"/>
      <c r="Z156" s="254"/>
      <c r="AA156" s="254"/>
      <c r="AB156" s="254"/>
    </row>
    <row r="157" spans="1:29" x14ac:dyDescent="0.35">
      <c r="A157" s="254"/>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4"/>
      <c r="X157" s="254"/>
      <c r="Y157" s="254"/>
      <c r="Z157" s="254"/>
      <c r="AA157" s="254"/>
      <c r="AB157" s="254"/>
    </row>
    <row r="158" spans="1:29" x14ac:dyDescent="0.35">
      <c r="A158" s="254"/>
      <c r="B158" s="254"/>
      <c r="C158" s="254"/>
      <c r="D158" s="254"/>
      <c r="E158" s="254"/>
      <c r="F158" s="254"/>
      <c r="G158" s="254"/>
      <c r="H158" s="254"/>
      <c r="I158" s="254"/>
      <c r="J158" s="254"/>
      <c r="K158" s="254"/>
      <c r="L158" s="254"/>
      <c r="M158" s="254"/>
      <c r="N158" s="254"/>
      <c r="O158" s="254"/>
      <c r="P158" s="254"/>
      <c r="Q158" s="254"/>
      <c r="R158" s="254"/>
      <c r="S158" s="254"/>
      <c r="T158" s="254"/>
      <c r="U158" s="254"/>
      <c r="V158" s="254"/>
      <c r="W158" s="254"/>
      <c r="X158" s="254"/>
      <c r="Y158" s="254"/>
      <c r="Z158" s="254"/>
      <c r="AA158" s="254"/>
      <c r="AB158" s="254"/>
    </row>
    <row r="159" spans="1:29" x14ac:dyDescent="0.35">
      <c r="A159" s="254"/>
      <c r="B159" s="254"/>
      <c r="C159" s="254"/>
      <c r="D159" s="254"/>
      <c r="E159" s="254"/>
      <c r="F159" s="254"/>
      <c r="G159" s="254"/>
      <c r="H159" s="254"/>
      <c r="I159" s="254"/>
      <c r="J159" s="254"/>
      <c r="K159" s="254"/>
      <c r="L159" s="254"/>
      <c r="M159" s="254"/>
      <c r="N159" s="254"/>
      <c r="O159" s="254"/>
      <c r="P159" s="254"/>
      <c r="Q159" s="254"/>
      <c r="R159" s="254"/>
      <c r="S159" s="254"/>
      <c r="T159" s="254"/>
      <c r="U159" s="254"/>
      <c r="V159" s="254"/>
      <c r="W159" s="254"/>
      <c r="X159" s="254"/>
      <c r="Y159" s="254"/>
      <c r="Z159" s="254"/>
      <c r="AA159" s="254"/>
      <c r="AB159" s="254"/>
    </row>
    <row r="160" spans="1:29" x14ac:dyDescent="0.35">
      <c r="A160" s="254"/>
      <c r="B160" s="254"/>
      <c r="C160" s="254"/>
      <c r="D160" s="254"/>
      <c r="E160" s="254"/>
      <c r="F160" s="254"/>
      <c r="G160" s="254"/>
      <c r="H160" s="254"/>
      <c r="I160" s="254"/>
      <c r="J160" s="254"/>
      <c r="K160" s="254"/>
      <c r="L160" s="254"/>
      <c r="M160" s="254"/>
      <c r="N160" s="254"/>
      <c r="O160" s="254"/>
      <c r="P160" s="254"/>
      <c r="Q160" s="254"/>
      <c r="R160" s="254"/>
      <c r="S160" s="254"/>
      <c r="T160" s="254"/>
      <c r="U160" s="254"/>
      <c r="V160" s="254"/>
      <c r="W160" s="254"/>
      <c r="X160" s="254"/>
      <c r="Y160" s="254"/>
      <c r="Z160" s="254"/>
      <c r="AA160" s="254"/>
      <c r="AB160" s="254"/>
    </row>
    <row r="161" spans="1:28" x14ac:dyDescent="0.35">
      <c r="A161" s="254"/>
      <c r="B161" s="254"/>
      <c r="C161" s="254"/>
      <c r="D161" s="254"/>
      <c r="E161" s="254"/>
      <c r="F161" s="254"/>
      <c r="G161" s="254"/>
      <c r="H161" s="254"/>
      <c r="I161" s="254"/>
      <c r="J161" s="254"/>
      <c r="K161" s="254"/>
      <c r="L161" s="254"/>
      <c r="M161" s="254"/>
      <c r="N161" s="254"/>
      <c r="O161" s="254"/>
      <c r="P161" s="254"/>
      <c r="Q161" s="254"/>
      <c r="R161" s="254"/>
      <c r="S161" s="254"/>
      <c r="T161" s="254"/>
      <c r="U161" s="254"/>
      <c r="V161" s="254"/>
      <c r="W161" s="254"/>
      <c r="X161" s="254"/>
      <c r="Y161" s="254"/>
      <c r="Z161" s="254"/>
      <c r="AA161" s="254"/>
      <c r="AB161" s="254"/>
    </row>
    <row r="162" spans="1:28" x14ac:dyDescent="0.35">
      <c r="A162" s="254"/>
      <c r="B162" s="254"/>
      <c r="C162" s="254"/>
      <c r="D162" s="254"/>
      <c r="E162" s="254"/>
      <c r="F162" s="254"/>
      <c r="G162" s="254"/>
      <c r="H162" s="254"/>
      <c r="I162" s="254"/>
      <c r="J162" s="254"/>
      <c r="K162" s="254"/>
      <c r="L162" s="254"/>
      <c r="M162" s="254"/>
      <c r="N162" s="254"/>
      <c r="O162" s="254"/>
      <c r="P162" s="254"/>
      <c r="Q162" s="254"/>
      <c r="R162" s="254"/>
      <c r="S162" s="254"/>
      <c r="T162" s="254"/>
      <c r="U162" s="254"/>
      <c r="V162" s="254"/>
      <c r="W162" s="254"/>
      <c r="X162" s="254"/>
      <c r="Y162" s="254"/>
      <c r="Z162" s="254"/>
      <c r="AA162" s="254"/>
      <c r="AB162" s="254"/>
    </row>
    <row r="163" spans="1:28" x14ac:dyDescent="0.35">
      <c r="A163" s="254"/>
      <c r="B163" s="254"/>
      <c r="C163" s="254"/>
      <c r="D163" s="254"/>
      <c r="E163" s="254"/>
      <c r="F163" s="254"/>
      <c r="G163" s="254"/>
      <c r="H163" s="254"/>
      <c r="I163" s="254"/>
      <c r="J163" s="254"/>
      <c r="K163" s="254"/>
      <c r="L163" s="254"/>
      <c r="M163" s="254"/>
      <c r="N163" s="254"/>
      <c r="O163" s="254"/>
      <c r="P163" s="254"/>
      <c r="Q163" s="254"/>
      <c r="R163" s="254"/>
      <c r="S163" s="254"/>
      <c r="T163" s="254"/>
      <c r="U163" s="254"/>
      <c r="V163" s="254"/>
      <c r="W163" s="254"/>
      <c r="X163" s="254"/>
      <c r="Y163" s="254"/>
      <c r="Z163" s="254"/>
      <c r="AA163" s="254"/>
      <c r="AB163" s="254"/>
    </row>
    <row r="164" spans="1:28" x14ac:dyDescent="0.35">
      <c r="A164" s="254"/>
      <c r="B164" s="254"/>
      <c r="C164" s="254"/>
      <c r="D164" s="254"/>
      <c r="E164" s="254"/>
      <c r="F164" s="254"/>
      <c r="G164" s="254"/>
      <c r="H164" s="254"/>
      <c r="I164" s="254"/>
      <c r="J164" s="254"/>
      <c r="K164" s="254"/>
      <c r="L164" s="254"/>
      <c r="M164" s="254"/>
      <c r="N164" s="254"/>
      <c r="O164" s="254"/>
      <c r="P164" s="254"/>
      <c r="Q164" s="254"/>
      <c r="R164" s="254"/>
      <c r="S164" s="254"/>
      <c r="T164" s="254"/>
      <c r="U164" s="254"/>
      <c r="V164" s="254"/>
      <c r="W164" s="254"/>
      <c r="X164" s="254"/>
      <c r="Y164" s="254"/>
      <c r="Z164" s="254"/>
      <c r="AA164" s="254"/>
      <c r="AB164" s="254"/>
    </row>
    <row r="165" spans="1:28" x14ac:dyDescent="0.35">
      <c r="A165" s="254"/>
      <c r="B165" s="254"/>
      <c r="C165" s="254"/>
      <c r="D165" s="254"/>
      <c r="E165" s="254"/>
      <c r="F165" s="254"/>
      <c r="G165" s="254"/>
      <c r="H165" s="254"/>
      <c r="I165" s="254"/>
      <c r="J165" s="254"/>
      <c r="K165" s="254"/>
      <c r="L165" s="254"/>
      <c r="M165" s="254"/>
      <c r="N165" s="254"/>
      <c r="O165" s="254"/>
      <c r="P165" s="254"/>
      <c r="Q165" s="254"/>
      <c r="R165" s="254"/>
      <c r="S165" s="254"/>
      <c r="T165" s="254"/>
      <c r="U165" s="254"/>
      <c r="V165" s="254"/>
      <c r="W165" s="254"/>
      <c r="X165" s="254"/>
      <c r="Y165" s="254"/>
      <c r="Z165" s="254"/>
      <c r="AA165" s="254"/>
      <c r="AB165" s="254"/>
    </row>
    <row r="166" spans="1:28" x14ac:dyDescent="0.35">
      <c r="A166" s="254"/>
      <c r="B166" s="254"/>
      <c r="C166" s="254"/>
      <c r="D166" s="254"/>
      <c r="E166" s="254"/>
      <c r="F166" s="254"/>
      <c r="G166" s="254"/>
      <c r="H166" s="254"/>
      <c r="I166" s="254"/>
      <c r="J166" s="254"/>
      <c r="K166" s="254"/>
      <c r="L166" s="254"/>
      <c r="M166" s="254"/>
      <c r="N166" s="254"/>
      <c r="O166" s="254"/>
      <c r="P166" s="254"/>
      <c r="Q166" s="254"/>
      <c r="R166" s="254"/>
      <c r="S166" s="254"/>
      <c r="T166" s="254"/>
      <c r="U166" s="254"/>
      <c r="V166" s="254"/>
      <c r="W166" s="254"/>
      <c r="X166" s="254"/>
      <c r="Y166" s="254"/>
      <c r="Z166" s="254"/>
      <c r="AA166" s="254"/>
      <c r="AB166" s="254"/>
    </row>
    <row r="167" spans="1:28" x14ac:dyDescent="0.35">
      <c r="A167" s="254"/>
      <c r="B167" s="254"/>
      <c r="C167" s="254"/>
      <c r="D167" s="254"/>
      <c r="E167" s="254"/>
      <c r="F167" s="254"/>
      <c r="G167" s="254"/>
      <c r="H167" s="254"/>
      <c r="I167" s="254"/>
      <c r="J167" s="254"/>
      <c r="K167" s="254"/>
      <c r="L167" s="254"/>
      <c r="M167" s="254"/>
      <c r="N167" s="254"/>
      <c r="O167" s="254"/>
      <c r="P167" s="254"/>
      <c r="Q167" s="254"/>
      <c r="R167" s="254"/>
      <c r="S167" s="254"/>
      <c r="T167" s="254"/>
      <c r="U167" s="254"/>
      <c r="V167" s="254"/>
      <c r="W167" s="254"/>
      <c r="X167" s="254"/>
      <c r="Y167" s="254"/>
      <c r="Z167" s="254"/>
      <c r="AA167" s="254"/>
      <c r="AB167" s="254"/>
    </row>
    <row r="168" spans="1:28" x14ac:dyDescent="0.35">
      <c r="A168" s="254"/>
      <c r="B168" s="254"/>
      <c r="C168" s="254"/>
      <c r="D168" s="254"/>
      <c r="E168" s="254"/>
      <c r="F168" s="254"/>
      <c r="G168" s="254"/>
      <c r="H168" s="254"/>
      <c r="I168" s="254"/>
      <c r="J168" s="254"/>
      <c r="K168" s="254"/>
      <c r="L168" s="254"/>
      <c r="M168" s="254"/>
      <c r="N168" s="254"/>
      <c r="O168" s="254"/>
      <c r="P168" s="254"/>
      <c r="Q168" s="254"/>
      <c r="R168" s="254"/>
      <c r="S168" s="254"/>
      <c r="T168" s="254"/>
      <c r="U168" s="254"/>
      <c r="V168" s="254"/>
      <c r="W168" s="254"/>
      <c r="X168" s="254"/>
      <c r="Y168" s="254"/>
      <c r="Z168" s="254"/>
      <c r="AA168" s="254"/>
      <c r="AB168" s="254"/>
    </row>
    <row r="169" spans="1:28" x14ac:dyDescent="0.35">
      <c r="A169" s="254"/>
      <c r="B169" s="254"/>
      <c r="C169" s="254"/>
      <c r="D169" s="254"/>
      <c r="E169" s="254"/>
      <c r="F169" s="254"/>
      <c r="G169" s="254"/>
      <c r="H169" s="254"/>
      <c r="I169" s="254"/>
      <c r="J169" s="254"/>
      <c r="K169" s="254"/>
      <c r="L169" s="254"/>
      <c r="M169" s="254"/>
      <c r="N169" s="254"/>
      <c r="O169" s="254"/>
      <c r="P169" s="254"/>
      <c r="Q169" s="254"/>
      <c r="R169" s="254"/>
      <c r="S169" s="254"/>
      <c r="T169" s="254"/>
      <c r="U169" s="254"/>
      <c r="V169" s="254"/>
      <c r="W169" s="254"/>
      <c r="X169" s="254"/>
      <c r="Y169" s="254"/>
      <c r="Z169" s="254"/>
      <c r="AA169" s="254"/>
      <c r="AB169" s="254"/>
    </row>
    <row r="170" spans="1:28" x14ac:dyDescent="0.35">
      <c r="A170" s="254"/>
      <c r="B170" s="254"/>
      <c r="C170" s="254"/>
      <c r="D170" s="254"/>
      <c r="E170" s="254"/>
      <c r="F170" s="254"/>
      <c r="G170" s="254"/>
      <c r="H170" s="254"/>
      <c r="I170" s="254"/>
      <c r="J170" s="254"/>
      <c r="K170" s="254"/>
      <c r="L170" s="254"/>
      <c r="M170" s="254"/>
      <c r="N170" s="254"/>
      <c r="O170" s="254"/>
      <c r="P170" s="254"/>
      <c r="Q170" s="254"/>
      <c r="R170" s="254"/>
      <c r="S170" s="254"/>
      <c r="T170" s="254"/>
      <c r="U170" s="254"/>
      <c r="V170" s="254"/>
      <c r="W170" s="254"/>
      <c r="X170" s="254"/>
      <c r="Y170" s="254"/>
      <c r="Z170" s="254"/>
      <c r="AA170" s="254"/>
      <c r="AB170" s="254"/>
    </row>
    <row r="171" spans="1:28" x14ac:dyDescent="0.35">
      <c r="A171" s="254"/>
      <c r="B171" s="254"/>
      <c r="C171" s="254"/>
      <c r="D171" s="254"/>
      <c r="E171" s="254"/>
      <c r="F171" s="254"/>
      <c r="G171" s="254"/>
      <c r="H171" s="254"/>
      <c r="I171" s="254"/>
      <c r="J171" s="254"/>
      <c r="K171" s="254"/>
      <c r="L171" s="254"/>
      <c r="M171" s="254"/>
      <c r="N171" s="254"/>
      <c r="O171" s="254"/>
      <c r="P171" s="254"/>
      <c r="Q171" s="254"/>
      <c r="R171" s="254"/>
      <c r="S171" s="254"/>
      <c r="T171" s="254"/>
      <c r="U171" s="254"/>
      <c r="V171" s="254"/>
      <c r="W171" s="254"/>
      <c r="X171" s="254"/>
      <c r="Y171" s="254"/>
      <c r="Z171" s="254"/>
      <c r="AA171" s="254"/>
      <c r="AB171" s="254"/>
    </row>
    <row r="172" spans="1:28" x14ac:dyDescent="0.35">
      <c r="A172" s="254"/>
      <c r="B172" s="254"/>
      <c r="C172" s="254"/>
      <c r="D172" s="254"/>
      <c r="E172" s="254"/>
      <c r="F172" s="254"/>
      <c r="G172" s="254"/>
      <c r="H172" s="254"/>
      <c r="I172" s="254"/>
      <c r="J172" s="254"/>
      <c r="K172" s="254"/>
      <c r="L172" s="254"/>
      <c r="M172" s="254"/>
      <c r="N172" s="254"/>
      <c r="O172" s="254"/>
      <c r="P172" s="254"/>
      <c r="Q172" s="254"/>
      <c r="R172" s="254"/>
      <c r="S172" s="254"/>
      <c r="T172" s="254"/>
      <c r="U172" s="254"/>
      <c r="V172" s="254"/>
      <c r="W172" s="254"/>
      <c r="X172" s="254"/>
      <c r="Y172" s="254"/>
      <c r="Z172" s="254"/>
      <c r="AA172" s="254"/>
      <c r="AB172" s="254"/>
    </row>
    <row r="173" spans="1:28" x14ac:dyDescent="0.35">
      <c r="A173" s="254"/>
      <c r="B173" s="254"/>
      <c r="C173" s="254"/>
      <c r="D173" s="254"/>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row>
    <row r="174" spans="1:28" x14ac:dyDescent="0.35">
      <c r="A174" s="254"/>
      <c r="B174" s="254"/>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row>
    <row r="175" spans="1:28" x14ac:dyDescent="0.35">
      <c r="A175" s="254"/>
      <c r="B175" s="254"/>
      <c r="C175" s="254"/>
      <c r="D175" s="254"/>
      <c r="E175" s="254"/>
      <c r="F175" s="254"/>
      <c r="G175" s="254"/>
      <c r="H175" s="254"/>
      <c r="I175" s="254"/>
      <c r="J175" s="254"/>
      <c r="K175" s="254"/>
      <c r="L175" s="254"/>
      <c r="M175" s="254"/>
      <c r="N175" s="254"/>
      <c r="O175" s="254"/>
      <c r="P175" s="254"/>
      <c r="Q175" s="254"/>
      <c r="R175" s="254"/>
      <c r="S175" s="254"/>
      <c r="T175" s="254"/>
      <c r="U175" s="254"/>
      <c r="V175" s="254"/>
      <c r="W175" s="254"/>
      <c r="X175" s="254"/>
      <c r="Y175" s="254"/>
      <c r="Z175" s="254"/>
      <c r="AA175" s="254"/>
      <c r="AB175" s="254"/>
    </row>
    <row r="176" spans="1:28" x14ac:dyDescent="0.35">
      <c r="A176" s="254"/>
      <c r="B176" s="254"/>
      <c r="C176" s="254"/>
      <c r="D176" s="254"/>
      <c r="E176" s="254"/>
      <c r="F176" s="254"/>
      <c r="G176" s="254"/>
      <c r="H176" s="254"/>
      <c r="I176" s="254"/>
      <c r="J176" s="254"/>
      <c r="K176" s="254"/>
      <c r="L176" s="254"/>
      <c r="M176" s="254"/>
      <c r="N176" s="254"/>
      <c r="O176" s="254"/>
      <c r="P176" s="254"/>
      <c r="Q176" s="254"/>
      <c r="R176" s="254"/>
      <c r="S176" s="254"/>
      <c r="T176" s="254"/>
      <c r="U176" s="254"/>
      <c r="V176" s="254"/>
      <c r="W176" s="254"/>
      <c r="X176" s="254"/>
      <c r="Y176" s="254"/>
      <c r="Z176" s="254"/>
      <c r="AA176" s="254"/>
      <c r="AB176" s="254"/>
    </row>
    <row r="177" spans="1:28" x14ac:dyDescent="0.35">
      <c r="A177" s="254"/>
      <c r="B177" s="254"/>
      <c r="C177" s="254"/>
      <c r="D177" s="254"/>
      <c r="E177" s="254"/>
      <c r="F177" s="254"/>
      <c r="G177" s="254"/>
      <c r="H177" s="254"/>
      <c r="I177" s="254"/>
      <c r="J177" s="254"/>
      <c r="K177" s="254"/>
      <c r="L177" s="254"/>
      <c r="M177" s="254"/>
      <c r="N177" s="254"/>
      <c r="O177" s="254"/>
      <c r="P177" s="254"/>
      <c r="Q177" s="254"/>
      <c r="R177" s="254"/>
      <c r="S177" s="254"/>
      <c r="T177" s="254"/>
      <c r="U177" s="254"/>
      <c r="V177" s="254"/>
      <c r="W177" s="254"/>
      <c r="X177" s="254"/>
      <c r="Y177" s="254"/>
      <c r="Z177" s="254"/>
      <c r="AA177" s="254"/>
      <c r="AB177" s="254"/>
    </row>
    <row r="178" spans="1:28" x14ac:dyDescent="0.35">
      <c r="A178" s="254"/>
      <c r="B178" s="254"/>
      <c r="C178" s="254"/>
      <c r="D178" s="254"/>
      <c r="E178" s="254"/>
      <c r="F178" s="254"/>
      <c r="G178" s="254"/>
      <c r="H178" s="254"/>
      <c r="I178" s="254"/>
      <c r="J178" s="254"/>
      <c r="K178" s="254"/>
      <c r="L178" s="254"/>
      <c r="M178" s="254"/>
      <c r="N178" s="254"/>
      <c r="O178" s="254"/>
      <c r="P178" s="254"/>
      <c r="Q178" s="254"/>
      <c r="R178" s="254"/>
      <c r="S178" s="254"/>
      <c r="T178" s="254"/>
      <c r="U178" s="254"/>
      <c r="V178" s="254"/>
      <c r="W178" s="254"/>
      <c r="X178" s="254"/>
      <c r="Y178" s="254"/>
      <c r="Z178" s="254"/>
      <c r="AA178" s="254"/>
      <c r="AB178" s="254"/>
    </row>
    <row r="179" spans="1:28" x14ac:dyDescent="0.35">
      <c r="A179" s="254"/>
      <c r="B179" s="254"/>
      <c r="C179" s="254"/>
      <c r="D179" s="254"/>
      <c r="E179" s="254"/>
      <c r="F179" s="254"/>
      <c r="G179" s="254"/>
      <c r="H179" s="254"/>
      <c r="I179" s="254"/>
      <c r="J179" s="254"/>
      <c r="K179" s="254"/>
      <c r="L179" s="254"/>
      <c r="M179" s="254"/>
      <c r="N179" s="254"/>
      <c r="O179" s="254"/>
      <c r="P179" s="254"/>
      <c r="Q179" s="254"/>
      <c r="R179" s="254"/>
      <c r="S179" s="254"/>
      <c r="T179" s="254"/>
      <c r="U179" s="254"/>
      <c r="V179" s="254"/>
      <c r="W179" s="254"/>
      <c r="X179" s="254"/>
      <c r="Y179" s="254"/>
      <c r="Z179" s="254"/>
      <c r="AA179" s="254"/>
      <c r="AB179" s="254"/>
    </row>
    <row r="180" spans="1:28" x14ac:dyDescent="0.35">
      <c r="A180" s="254"/>
      <c r="B180" s="254"/>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row>
    <row r="181" spans="1:28" x14ac:dyDescent="0.35">
      <c r="A181" s="254"/>
      <c r="B181" s="254"/>
      <c r="C181" s="254"/>
      <c r="D181" s="254"/>
      <c r="E181" s="254"/>
      <c r="F181" s="254"/>
      <c r="G181" s="254"/>
      <c r="H181" s="254"/>
      <c r="I181" s="254"/>
      <c r="J181" s="254"/>
      <c r="K181" s="254"/>
      <c r="L181" s="254"/>
      <c r="M181" s="254"/>
      <c r="N181" s="254"/>
      <c r="O181" s="254"/>
      <c r="P181" s="254"/>
      <c r="Q181" s="254"/>
      <c r="R181" s="254"/>
      <c r="S181" s="254"/>
      <c r="T181" s="254"/>
      <c r="U181" s="254"/>
      <c r="V181" s="254"/>
      <c r="W181" s="254"/>
      <c r="X181" s="254"/>
      <c r="Y181" s="254"/>
      <c r="Z181" s="254"/>
      <c r="AA181" s="254"/>
      <c r="AB181" s="254"/>
    </row>
    <row r="182" spans="1:28" x14ac:dyDescent="0.35">
      <c r="A182" s="254"/>
      <c r="B182" s="254"/>
      <c r="C182" s="254"/>
      <c r="D182" s="254"/>
      <c r="E182" s="254"/>
      <c r="F182" s="254"/>
      <c r="G182" s="254"/>
      <c r="H182" s="254"/>
      <c r="I182" s="254"/>
      <c r="J182" s="254"/>
      <c r="K182" s="254"/>
      <c r="L182" s="254"/>
      <c r="M182" s="254"/>
      <c r="N182" s="254"/>
      <c r="O182" s="254"/>
      <c r="P182" s="254"/>
      <c r="Q182" s="254"/>
      <c r="R182" s="254"/>
      <c r="S182" s="254"/>
      <c r="T182" s="254"/>
      <c r="U182" s="254"/>
      <c r="V182" s="254"/>
      <c r="W182" s="254"/>
      <c r="X182" s="254"/>
      <c r="Y182" s="254"/>
      <c r="Z182" s="254"/>
      <c r="AA182" s="254"/>
      <c r="AB182" s="254"/>
    </row>
    <row r="183" spans="1:28" x14ac:dyDescent="0.35">
      <c r="A183" s="254"/>
      <c r="B183" s="254"/>
      <c r="C183" s="254"/>
      <c r="D183" s="254"/>
      <c r="E183" s="254"/>
      <c r="F183" s="254"/>
      <c r="G183" s="254"/>
      <c r="H183" s="254"/>
      <c r="I183" s="254"/>
      <c r="J183" s="254"/>
      <c r="K183" s="254"/>
      <c r="L183" s="254"/>
      <c r="M183" s="254"/>
      <c r="N183" s="254"/>
      <c r="O183" s="254"/>
      <c r="P183" s="254"/>
      <c r="Q183" s="254"/>
      <c r="R183" s="254"/>
      <c r="S183" s="254"/>
      <c r="T183" s="254"/>
      <c r="U183" s="254"/>
      <c r="V183" s="254"/>
      <c r="W183" s="254"/>
      <c r="X183" s="254"/>
      <c r="Y183" s="254"/>
      <c r="Z183" s="254"/>
      <c r="AA183" s="254"/>
      <c r="AB183" s="254"/>
    </row>
    <row r="184" spans="1:28" x14ac:dyDescent="0.35">
      <c r="A184" s="254"/>
      <c r="B184" s="254"/>
      <c r="C184" s="254"/>
      <c r="D184" s="254"/>
      <c r="E184" s="254"/>
      <c r="F184" s="254"/>
      <c r="G184" s="254"/>
      <c r="H184" s="254"/>
      <c r="I184" s="254"/>
      <c r="J184" s="254"/>
      <c r="K184" s="254"/>
      <c r="L184" s="254"/>
      <c r="M184" s="254"/>
      <c r="N184" s="254"/>
      <c r="O184" s="254"/>
      <c r="P184" s="254"/>
      <c r="Q184" s="254"/>
      <c r="R184" s="254"/>
      <c r="S184" s="254"/>
      <c r="T184" s="254"/>
      <c r="U184" s="254"/>
      <c r="V184" s="254"/>
      <c r="W184" s="254"/>
      <c r="X184" s="254"/>
      <c r="Y184" s="254"/>
      <c r="Z184" s="254"/>
      <c r="AA184" s="254"/>
      <c r="AB184" s="254"/>
    </row>
    <row r="185" spans="1:28" x14ac:dyDescent="0.35">
      <c r="A185" s="254"/>
      <c r="B185" s="254"/>
      <c r="C185" s="254"/>
      <c r="D185" s="254"/>
      <c r="E185" s="254"/>
      <c r="F185" s="254"/>
      <c r="G185" s="254"/>
      <c r="H185" s="254"/>
      <c r="I185" s="254"/>
      <c r="J185" s="254"/>
      <c r="K185" s="254"/>
      <c r="L185" s="254"/>
      <c r="M185" s="254"/>
      <c r="N185" s="254"/>
      <c r="O185" s="254"/>
      <c r="P185" s="254"/>
      <c r="Q185" s="254"/>
      <c r="R185" s="254"/>
      <c r="S185" s="254"/>
      <c r="T185" s="254"/>
      <c r="U185" s="254"/>
      <c r="V185" s="254"/>
      <c r="W185" s="254"/>
      <c r="X185" s="254"/>
      <c r="Y185" s="254"/>
      <c r="Z185" s="254"/>
      <c r="AA185" s="254"/>
      <c r="AB185" s="254"/>
    </row>
    <row r="186" spans="1:28" x14ac:dyDescent="0.35">
      <c r="A186" s="254"/>
      <c r="B186" s="254"/>
      <c r="C186" s="254"/>
      <c r="D186" s="254"/>
      <c r="E186" s="254"/>
      <c r="F186" s="254"/>
      <c r="G186" s="254"/>
      <c r="H186" s="254"/>
      <c r="I186" s="254"/>
      <c r="J186" s="254"/>
      <c r="K186" s="254"/>
      <c r="L186" s="254"/>
      <c r="M186" s="254"/>
      <c r="N186" s="254"/>
      <c r="O186" s="254"/>
      <c r="P186" s="254"/>
      <c r="Q186" s="254"/>
      <c r="R186" s="254"/>
      <c r="S186" s="254"/>
      <c r="T186" s="254"/>
      <c r="U186" s="254"/>
      <c r="V186" s="254"/>
      <c r="W186" s="254"/>
      <c r="X186" s="254"/>
      <c r="Y186" s="254"/>
      <c r="Z186" s="254"/>
      <c r="AA186" s="254"/>
      <c r="AB186" s="254"/>
    </row>
    <row r="187" spans="1:28" x14ac:dyDescent="0.35">
      <c r="A187" s="254"/>
      <c r="B187" s="254"/>
      <c r="C187" s="254"/>
      <c r="D187" s="254"/>
      <c r="E187" s="254"/>
      <c r="F187" s="254"/>
      <c r="G187" s="254"/>
      <c r="H187" s="254"/>
      <c r="I187" s="254"/>
      <c r="J187" s="254"/>
      <c r="K187" s="254"/>
      <c r="L187" s="254"/>
      <c r="M187" s="254"/>
      <c r="N187" s="254"/>
      <c r="O187" s="254"/>
      <c r="P187" s="254"/>
      <c r="Q187" s="254"/>
      <c r="R187" s="254"/>
      <c r="S187" s="254"/>
      <c r="T187" s="254"/>
      <c r="U187" s="254"/>
      <c r="V187" s="254"/>
      <c r="W187" s="254"/>
      <c r="X187" s="254"/>
      <c r="Y187" s="254"/>
      <c r="Z187" s="254"/>
      <c r="AA187" s="254"/>
      <c r="AB187" s="254"/>
    </row>
    <row r="188" spans="1:28" x14ac:dyDescent="0.35">
      <c r="A188" s="254"/>
      <c r="B188" s="254"/>
      <c r="C188" s="254"/>
      <c r="D188" s="254"/>
      <c r="E188" s="254"/>
      <c r="F188" s="254"/>
      <c r="G188" s="254"/>
      <c r="H188" s="254"/>
      <c r="I188" s="254"/>
      <c r="J188" s="254"/>
      <c r="K188" s="254"/>
      <c r="L188" s="254"/>
      <c r="M188" s="254"/>
      <c r="N188" s="254"/>
      <c r="O188" s="254"/>
      <c r="P188" s="254"/>
      <c r="Q188" s="254"/>
      <c r="R188" s="254"/>
      <c r="S188" s="254"/>
      <c r="T188" s="254"/>
      <c r="U188" s="254"/>
      <c r="V188" s="254"/>
      <c r="W188" s="254"/>
      <c r="X188" s="254"/>
      <c r="Y188" s="254"/>
      <c r="Z188" s="254"/>
      <c r="AA188" s="254"/>
      <c r="AB188" s="254"/>
    </row>
    <row r="189" spans="1:28" x14ac:dyDescent="0.35">
      <c r="A189" s="254"/>
      <c r="B189" s="254"/>
      <c r="C189" s="254"/>
      <c r="D189" s="254"/>
      <c r="E189" s="254"/>
      <c r="F189" s="254"/>
      <c r="G189" s="254"/>
      <c r="H189" s="254"/>
      <c r="I189" s="254"/>
      <c r="J189" s="254"/>
      <c r="K189" s="254"/>
      <c r="L189" s="254"/>
      <c r="M189" s="254"/>
      <c r="N189" s="254"/>
      <c r="O189" s="254"/>
      <c r="P189" s="254"/>
      <c r="Q189" s="254"/>
      <c r="R189" s="254"/>
      <c r="S189" s="254"/>
      <c r="T189" s="254"/>
      <c r="U189" s="254"/>
      <c r="V189" s="254"/>
      <c r="W189" s="254"/>
      <c r="X189" s="254"/>
      <c r="Y189" s="254"/>
      <c r="Z189" s="254"/>
      <c r="AA189" s="254"/>
      <c r="AB189" s="254"/>
    </row>
    <row r="190" spans="1:28" x14ac:dyDescent="0.35">
      <c r="A190" s="254"/>
      <c r="B190" s="254"/>
      <c r="C190" s="254"/>
      <c r="D190" s="254"/>
      <c r="E190" s="254"/>
      <c r="F190" s="254"/>
      <c r="G190" s="254"/>
      <c r="H190" s="254"/>
      <c r="I190" s="254"/>
      <c r="J190" s="254"/>
      <c r="K190" s="254"/>
      <c r="L190" s="254"/>
      <c r="M190" s="254"/>
      <c r="N190" s="254"/>
      <c r="O190" s="254"/>
      <c r="P190" s="254"/>
      <c r="Q190" s="254"/>
      <c r="R190" s="254"/>
      <c r="S190" s="254"/>
      <c r="T190" s="254"/>
      <c r="U190" s="254"/>
      <c r="V190" s="254"/>
      <c r="W190" s="254"/>
      <c r="X190" s="254"/>
      <c r="Y190" s="254"/>
      <c r="Z190" s="254"/>
      <c r="AA190" s="254"/>
      <c r="AB190" s="254"/>
    </row>
    <row r="191" spans="1:28" x14ac:dyDescent="0.35">
      <c r="A191" s="254"/>
      <c r="B191" s="254"/>
      <c r="C191" s="254"/>
      <c r="D191" s="254"/>
      <c r="E191" s="254"/>
      <c r="F191" s="254"/>
      <c r="G191" s="254"/>
      <c r="H191" s="254"/>
      <c r="I191" s="254"/>
      <c r="J191" s="254"/>
      <c r="K191" s="254"/>
      <c r="L191" s="254"/>
      <c r="M191" s="254"/>
      <c r="N191" s="254"/>
      <c r="O191" s="254"/>
      <c r="P191" s="254"/>
      <c r="Q191" s="254"/>
      <c r="R191" s="254"/>
      <c r="S191" s="254"/>
      <c r="T191" s="254"/>
      <c r="U191" s="254"/>
      <c r="V191" s="254"/>
      <c r="W191" s="254"/>
      <c r="X191" s="254"/>
      <c r="Y191" s="254"/>
      <c r="Z191" s="254"/>
      <c r="AA191" s="254"/>
      <c r="AB191" s="254"/>
    </row>
    <row r="192" spans="1:28" x14ac:dyDescent="0.35">
      <c r="A192" s="254"/>
      <c r="B192" s="254"/>
      <c r="C192" s="254"/>
      <c r="D192" s="254"/>
      <c r="E192" s="254"/>
      <c r="F192" s="254"/>
      <c r="G192" s="254"/>
      <c r="H192" s="254"/>
      <c r="I192" s="254"/>
      <c r="J192" s="254"/>
      <c r="K192" s="254"/>
      <c r="L192" s="254"/>
      <c r="M192" s="254"/>
      <c r="N192" s="254"/>
      <c r="O192" s="254"/>
      <c r="P192" s="254"/>
      <c r="Q192" s="254"/>
      <c r="R192" s="254"/>
      <c r="S192" s="254"/>
      <c r="T192" s="254"/>
      <c r="U192" s="254"/>
      <c r="V192" s="254"/>
      <c r="W192" s="254"/>
      <c r="X192" s="254"/>
      <c r="Y192" s="254"/>
      <c r="Z192" s="254"/>
      <c r="AA192" s="254"/>
      <c r="AB192" s="254"/>
    </row>
    <row r="193" spans="1:28" x14ac:dyDescent="0.35">
      <c r="A193" s="254"/>
      <c r="B193" s="254"/>
      <c r="C193" s="254"/>
      <c r="D193" s="254"/>
      <c r="E193" s="254"/>
      <c r="F193" s="254"/>
      <c r="G193" s="254"/>
      <c r="H193" s="254"/>
      <c r="I193" s="254"/>
      <c r="J193" s="254"/>
      <c r="K193" s="254"/>
      <c r="L193" s="254"/>
      <c r="M193" s="254"/>
      <c r="N193" s="254"/>
      <c r="O193" s="254"/>
      <c r="P193" s="254"/>
      <c r="Q193" s="254"/>
      <c r="R193" s="254"/>
      <c r="S193" s="254"/>
      <c r="T193" s="254"/>
      <c r="U193" s="254"/>
      <c r="V193" s="254"/>
      <c r="W193" s="254"/>
      <c r="X193" s="254"/>
      <c r="Y193" s="254"/>
      <c r="Z193" s="254"/>
      <c r="AA193" s="254"/>
      <c r="AB193" s="254"/>
    </row>
    <row r="194" spans="1:28" x14ac:dyDescent="0.35">
      <c r="A194" s="254"/>
      <c r="B194" s="254"/>
      <c r="C194" s="254"/>
      <c r="D194" s="254"/>
      <c r="E194" s="254"/>
      <c r="F194" s="254"/>
      <c r="G194" s="254"/>
      <c r="H194" s="254"/>
      <c r="I194" s="254"/>
      <c r="J194" s="254"/>
      <c r="K194" s="254"/>
      <c r="L194" s="254"/>
      <c r="M194" s="254"/>
      <c r="N194" s="254"/>
      <c r="O194" s="254"/>
      <c r="P194" s="254"/>
      <c r="Q194" s="254"/>
      <c r="R194" s="254"/>
      <c r="S194" s="254"/>
      <c r="T194" s="254"/>
      <c r="U194" s="254"/>
      <c r="V194" s="254"/>
      <c r="W194" s="254"/>
      <c r="X194" s="254"/>
      <c r="Y194" s="254"/>
      <c r="Z194" s="254"/>
      <c r="AA194" s="254"/>
      <c r="AB194" s="254"/>
    </row>
    <row r="195" spans="1:28" x14ac:dyDescent="0.35">
      <c r="A195" s="254"/>
      <c r="B195" s="254"/>
      <c r="C195" s="254"/>
      <c r="D195" s="254"/>
      <c r="E195" s="254"/>
      <c r="F195" s="254"/>
      <c r="G195" s="254"/>
      <c r="H195" s="254"/>
      <c r="I195" s="254"/>
      <c r="J195" s="254"/>
      <c r="K195" s="254"/>
      <c r="L195" s="254"/>
      <c r="M195" s="254"/>
      <c r="N195" s="254"/>
      <c r="O195" s="254"/>
      <c r="P195" s="254"/>
      <c r="Q195" s="254"/>
      <c r="R195" s="254"/>
      <c r="S195" s="254"/>
      <c r="T195" s="254"/>
      <c r="U195" s="254"/>
      <c r="V195" s="254"/>
      <c r="W195" s="254"/>
      <c r="X195" s="254"/>
      <c r="Y195" s="254"/>
      <c r="Z195" s="254"/>
      <c r="AA195" s="254"/>
      <c r="AB195" s="254"/>
    </row>
    <row r="196" spans="1:28" x14ac:dyDescent="0.35">
      <c r="A196" s="254"/>
      <c r="B196" s="254"/>
      <c r="C196" s="254"/>
      <c r="D196" s="254"/>
      <c r="E196" s="254"/>
      <c r="F196" s="254"/>
      <c r="G196" s="254"/>
      <c r="H196" s="254"/>
      <c r="I196" s="254"/>
      <c r="J196" s="254"/>
      <c r="K196" s="254"/>
      <c r="L196" s="254"/>
      <c r="M196" s="254"/>
      <c r="N196" s="254"/>
      <c r="O196" s="254"/>
      <c r="P196" s="254"/>
      <c r="Q196" s="254"/>
      <c r="R196" s="254"/>
      <c r="S196" s="254"/>
      <c r="T196" s="254"/>
      <c r="U196" s="254"/>
      <c r="V196" s="254"/>
      <c r="W196" s="254"/>
      <c r="X196" s="254"/>
      <c r="Y196" s="254"/>
      <c r="Z196" s="254"/>
      <c r="AA196" s="254"/>
      <c r="AB196" s="254"/>
    </row>
    <row r="197" spans="1:28" x14ac:dyDescent="0.35">
      <c r="A197" s="254"/>
      <c r="B197" s="254"/>
      <c r="C197" s="254"/>
      <c r="D197" s="254"/>
      <c r="E197" s="254"/>
      <c r="F197" s="254"/>
      <c r="G197" s="254"/>
      <c r="H197" s="254"/>
      <c r="I197" s="254"/>
      <c r="J197" s="254"/>
      <c r="K197" s="254"/>
      <c r="L197" s="254"/>
      <c r="M197" s="254"/>
      <c r="N197" s="254"/>
      <c r="O197" s="254"/>
      <c r="P197" s="254"/>
      <c r="Q197" s="254"/>
      <c r="R197" s="254"/>
      <c r="S197" s="254"/>
      <c r="T197" s="254"/>
      <c r="U197" s="254"/>
      <c r="V197" s="254"/>
      <c r="W197" s="254"/>
      <c r="X197" s="254"/>
      <c r="Y197" s="254"/>
      <c r="Z197" s="254"/>
      <c r="AA197" s="254"/>
      <c r="AB197" s="254"/>
    </row>
    <row r="198" spans="1:28" x14ac:dyDescent="0.35">
      <c r="A198" s="254"/>
      <c r="B198" s="254"/>
      <c r="C198" s="254"/>
      <c r="D198" s="254"/>
      <c r="E198" s="254"/>
      <c r="F198" s="254"/>
      <c r="G198" s="254"/>
      <c r="H198" s="254"/>
      <c r="I198" s="254"/>
      <c r="J198" s="254"/>
      <c r="K198" s="254"/>
      <c r="L198" s="254"/>
      <c r="M198" s="254"/>
      <c r="N198" s="254"/>
      <c r="O198" s="254"/>
      <c r="P198" s="254"/>
      <c r="Q198" s="254"/>
      <c r="R198" s="254"/>
      <c r="S198" s="254"/>
      <c r="T198" s="254"/>
      <c r="U198" s="254"/>
      <c r="V198" s="254"/>
      <c r="W198" s="254"/>
      <c r="X198" s="254"/>
      <c r="Y198" s="254"/>
      <c r="Z198" s="254"/>
      <c r="AA198" s="254"/>
      <c r="AB198" s="254"/>
    </row>
    <row r="199" spans="1:28" x14ac:dyDescent="0.35">
      <c r="A199" s="254"/>
      <c r="B199" s="254"/>
      <c r="C199" s="254"/>
      <c r="D199" s="254"/>
      <c r="E199" s="254"/>
      <c r="F199" s="254"/>
      <c r="G199" s="254"/>
      <c r="H199" s="254"/>
      <c r="I199" s="254"/>
      <c r="J199" s="254"/>
      <c r="K199" s="254"/>
      <c r="L199" s="254"/>
      <c r="M199" s="254"/>
      <c r="N199" s="254"/>
      <c r="O199" s="254"/>
      <c r="P199" s="254"/>
      <c r="Q199" s="254"/>
      <c r="R199" s="254"/>
      <c r="S199" s="254"/>
      <c r="T199" s="254"/>
      <c r="U199" s="254"/>
      <c r="V199" s="254"/>
      <c r="W199" s="254"/>
      <c r="X199" s="254"/>
      <c r="Y199" s="254"/>
      <c r="Z199" s="254"/>
      <c r="AA199" s="254"/>
      <c r="AB199" s="254"/>
    </row>
    <row r="200" spans="1:28" x14ac:dyDescent="0.35">
      <c r="A200" s="254"/>
      <c r="B200" s="254"/>
      <c r="C200" s="254"/>
      <c r="D200" s="254"/>
      <c r="E200" s="254"/>
      <c r="F200" s="254"/>
      <c r="G200" s="254"/>
      <c r="H200" s="254"/>
      <c r="I200" s="254"/>
      <c r="J200" s="254"/>
      <c r="K200" s="254"/>
      <c r="L200" s="254"/>
      <c r="M200" s="254"/>
      <c r="N200" s="254"/>
      <c r="O200" s="254"/>
      <c r="P200" s="254"/>
      <c r="Q200" s="254"/>
      <c r="R200" s="254"/>
      <c r="S200" s="254"/>
      <c r="T200" s="254"/>
      <c r="U200" s="254"/>
      <c r="V200" s="254"/>
      <c r="W200" s="254"/>
      <c r="X200" s="254"/>
      <c r="Y200" s="254"/>
      <c r="Z200" s="254"/>
      <c r="AA200" s="254"/>
      <c r="AB200" s="254"/>
    </row>
    <row r="201" spans="1:28" x14ac:dyDescent="0.35">
      <c r="A201" s="254"/>
      <c r="B201" s="254"/>
      <c r="C201" s="254"/>
      <c r="D201" s="254"/>
      <c r="E201" s="254"/>
      <c r="F201" s="254"/>
      <c r="G201" s="254"/>
      <c r="H201" s="254"/>
      <c r="I201" s="254"/>
      <c r="J201" s="254"/>
      <c r="K201" s="254"/>
      <c r="L201" s="254"/>
      <c r="M201" s="254"/>
      <c r="N201" s="254"/>
      <c r="O201" s="254"/>
      <c r="P201" s="254"/>
      <c r="Q201" s="254"/>
      <c r="R201" s="254"/>
      <c r="S201" s="254"/>
      <c r="T201" s="254"/>
      <c r="U201" s="254"/>
      <c r="V201" s="254"/>
      <c r="W201" s="254"/>
      <c r="X201" s="254"/>
      <c r="Y201" s="254"/>
      <c r="Z201" s="254"/>
      <c r="AA201" s="254"/>
      <c r="AB201" s="254"/>
    </row>
    <row r="202" spans="1:28" x14ac:dyDescent="0.35">
      <c r="A202" s="254"/>
      <c r="B202" s="254"/>
      <c r="C202" s="254"/>
      <c r="D202" s="254"/>
      <c r="E202" s="254"/>
      <c r="F202" s="254"/>
      <c r="G202" s="254"/>
      <c r="H202" s="254"/>
      <c r="I202" s="254"/>
      <c r="J202" s="254"/>
      <c r="K202" s="254"/>
      <c r="L202" s="254"/>
      <c r="M202" s="254"/>
      <c r="N202" s="254"/>
      <c r="O202" s="254"/>
      <c r="P202" s="254"/>
      <c r="Q202" s="254"/>
      <c r="R202" s="254"/>
      <c r="S202" s="254"/>
      <c r="T202" s="254"/>
      <c r="U202" s="254"/>
      <c r="V202" s="254"/>
      <c r="W202" s="254"/>
      <c r="X202" s="254"/>
      <c r="Y202" s="254"/>
      <c r="Z202" s="254"/>
      <c r="AA202" s="254"/>
      <c r="AB202" s="254"/>
    </row>
    <row r="203" spans="1:28" x14ac:dyDescent="0.35">
      <c r="A203" s="254"/>
      <c r="B203" s="254"/>
      <c r="C203" s="254"/>
      <c r="D203" s="254"/>
      <c r="E203" s="254"/>
      <c r="F203" s="254"/>
      <c r="G203" s="254"/>
      <c r="H203" s="254"/>
      <c r="I203" s="254"/>
      <c r="J203" s="254"/>
      <c r="K203" s="254"/>
      <c r="L203" s="254"/>
      <c r="M203" s="254"/>
      <c r="N203" s="254"/>
      <c r="O203" s="254"/>
      <c r="P203" s="254"/>
      <c r="Q203" s="254"/>
      <c r="R203" s="254"/>
      <c r="S203" s="254"/>
      <c r="T203" s="254"/>
      <c r="U203" s="254"/>
      <c r="V203" s="254"/>
      <c r="W203" s="254"/>
      <c r="X203" s="254"/>
      <c r="Y203" s="254"/>
      <c r="Z203" s="254"/>
      <c r="AA203" s="254"/>
      <c r="AB203" s="254"/>
    </row>
    <row r="204" spans="1:28" x14ac:dyDescent="0.35">
      <c r="A204" s="254"/>
      <c r="B204" s="254"/>
      <c r="C204" s="254"/>
      <c r="D204" s="254"/>
      <c r="E204" s="254"/>
      <c r="F204" s="254"/>
      <c r="G204" s="254"/>
      <c r="H204" s="254"/>
      <c r="I204" s="254"/>
      <c r="J204" s="254"/>
      <c r="K204" s="254"/>
      <c r="L204" s="254"/>
      <c r="M204" s="254"/>
      <c r="N204" s="254"/>
      <c r="O204" s="254"/>
      <c r="P204" s="254"/>
      <c r="Q204" s="254"/>
      <c r="R204" s="254"/>
      <c r="S204" s="254"/>
      <c r="T204" s="254"/>
      <c r="U204" s="254"/>
      <c r="V204" s="254"/>
      <c r="W204" s="254"/>
      <c r="X204" s="254"/>
      <c r="Y204" s="254"/>
      <c r="Z204" s="254"/>
      <c r="AA204" s="254"/>
      <c r="AB204" s="254"/>
    </row>
    <row r="205" spans="1:28" x14ac:dyDescent="0.35">
      <c r="A205" s="254"/>
      <c r="B205" s="254"/>
      <c r="C205" s="254"/>
      <c r="D205" s="254"/>
      <c r="E205" s="254"/>
      <c r="F205" s="254"/>
      <c r="G205" s="254"/>
      <c r="H205" s="254"/>
      <c r="I205" s="254"/>
      <c r="J205" s="254"/>
      <c r="K205" s="254"/>
      <c r="L205" s="254"/>
      <c r="M205" s="254"/>
      <c r="N205" s="254"/>
      <c r="O205" s="254"/>
      <c r="P205" s="254"/>
      <c r="Q205" s="254"/>
      <c r="R205" s="254"/>
      <c r="S205" s="254"/>
      <c r="T205" s="254"/>
      <c r="U205" s="254"/>
      <c r="V205" s="254"/>
      <c r="W205" s="254"/>
      <c r="X205" s="254"/>
      <c r="Y205" s="254"/>
      <c r="Z205" s="254"/>
      <c r="AA205" s="254"/>
      <c r="AB205" s="254"/>
    </row>
    <row r="206" spans="1:28" x14ac:dyDescent="0.35">
      <c r="A206" s="254"/>
      <c r="B206" s="254"/>
      <c r="C206" s="254"/>
      <c r="D206" s="254"/>
      <c r="E206" s="254"/>
      <c r="F206" s="254"/>
      <c r="G206" s="254"/>
      <c r="H206" s="254"/>
      <c r="I206" s="254"/>
      <c r="J206" s="254"/>
      <c r="K206" s="254"/>
      <c r="L206" s="254"/>
      <c r="M206" s="254"/>
      <c r="N206" s="254"/>
      <c r="O206" s="254"/>
      <c r="P206" s="254"/>
      <c r="Q206" s="254"/>
      <c r="R206" s="254"/>
      <c r="S206" s="254"/>
      <c r="T206" s="254"/>
      <c r="U206" s="254"/>
      <c r="V206" s="254"/>
      <c r="W206" s="254"/>
      <c r="X206" s="254"/>
      <c r="Y206" s="254"/>
      <c r="Z206" s="254"/>
      <c r="AA206" s="254"/>
      <c r="AB206" s="254"/>
    </row>
    <row r="207" spans="1:28" x14ac:dyDescent="0.35">
      <c r="A207" s="254"/>
      <c r="B207" s="254"/>
      <c r="C207" s="254"/>
      <c r="D207" s="254"/>
      <c r="E207" s="254"/>
      <c r="F207" s="254"/>
      <c r="G207" s="254"/>
      <c r="H207" s="254"/>
      <c r="I207" s="254"/>
      <c r="J207" s="254"/>
      <c r="K207" s="254"/>
      <c r="L207" s="254"/>
      <c r="M207" s="254"/>
      <c r="N207" s="254"/>
      <c r="O207" s="254"/>
      <c r="P207" s="254"/>
      <c r="Q207" s="254"/>
      <c r="R207" s="254"/>
      <c r="S207" s="254"/>
      <c r="T207" s="254"/>
      <c r="U207" s="254"/>
      <c r="V207" s="254"/>
    </row>
    <row r="208" spans="1:28" x14ac:dyDescent="0.35">
      <c r="A208" s="254"/>
      <c r="B208" s="254"/>
      <c r="C208" s="254"/>
      <c r="D208" s="254"/>
      <c r="E208" s="254"/>
      <c r="F208" s="254"/>
      <c r="G208" s="254"/>
      <c r="H208" s="254"/>
      <c r="I208" s="254"/>
      <c r="J208" s="254"/>
      <c r="K208" s="254"/>
      <c r="L208" s="254"/>
      <c r="M208" s="254"/>
      <c r="N208" s="254"/>
      <c r="O208" s="254"/>
      <c r="P208" s="254"/>
      <c r="Q208" s="254"/>
      <c r="R208" s="254"/>
      <c r="S208" s="254"/>
      <c r="T208" s="254"/>
      <c r="U208" s="254"/>
      <c r="V208" s="254"/>
    </row>
    <row r="209" spans="1:22" x14ac:dyDescent="0.35">
      <c r="A209" s="254"/>
      <c r="B209" s="254"/>
      <c r="C209" s="254"/>
      <c r="D209" s="254"/>
      <c r="E209" s="254"/>
      <c r="F209" s="254"/>
      <c r="G209" s="254"/>
      <c r="H209" s="254"/>
      <c r="I209" s="254"/>
      <c r="J209" s="254"/>
      <c r="K209" s="254"/>
      <c r="L209" s="254"/>
      <c r="M209" s="254"/>
      <c r="N209" s="254"/>
      <c r="O209" s="254"/>
      <c r="P209" s="254"/>
      <c r="Q209" s="254"/>
      <c r="R209" s="254"/>
      <c r="S209" s="254"/>
      <c r="T209" s="254"/>
      <c r="U209" s="254"/>
      <c r="V209" s="254"/>
    </row>
    <row r="210" spans="1:22" x14ac:dyDescent="0.35">
      <c r="A210" s="254"/>
      <c r="B210" s="254"/>
      <c r="C210" s="254"/>
      <c r="D210" s="254"/>
      <c r="E210" s="254"/>
      <c r="F210" s="254"/>
      <c r="G210" s="254"/>
      <c r="H210" s="254"/>
      <c r="I210" s="254"/>
      <c r="J210" s="254"/>
      <c r="K210" s="254"/>
      <c r="L210" s="254"/>
      <c r="M210" s="254"/>
      <c r="N210" s="254"/>
      <c r="O210" s="254"/>
      <c r="P210" s="254"/>
      <c r="Q210" s="254"/>
      <c r="R210" s="254"/>
      <c r="S210" s="254"/>
      <c r="T210" s="254"/>
      <c r="U210" s="254"/>
      <c r="V210" s="254"/>
    </row>
    <row r="211" spans="1:22" x14ac:dyDescent="0.35">
      <c r="A211" s="254"/>
      <c r="B211" s="254"/>
      <c r="C211" s="254"/>
      <c r="D211" s="254"/>
      <c r="E211" s="254"/>
      <c r="F211" s="254"/>
      <c r="G211" s="254"/>
      <c r="H211" s="254"/>
      <c r="I211" s="254"/>
      <c r="J211" s="254"/>
      <c r="K211" s="254"/>
      <c r="L211" s="254"/>
      <c r="M211" s="254"/>
      <c r="N211" s="254"/>
      <c r="O211" s="254"/>
      <c r="P211" s="254"/>
      <c r="Q211" s="254"/>
      <c r="R211" s="254"/>
      <c r="S211" s="254"/>
      <c r="T211" s="254"/>
      <c r="U211" s="254"/>
      <c r="V211" s="254"/>
    </row>
    <row r="212" spans="1:22" x14ac:dyDescent="0.35">
      <c r="A212" s="254"/>
      <c r="B212" s="254"/>
      <c r="C212" s="254"/>
      <c r="D212" s="254"/>
      <c r="E212" s="254"/>
      <c r="F212" s="254"/>
      <c r="G212" s="254"/>
      <c r="H212" s="254"/>
      <c r="I212" s="254"/>
      <c r="J212" s="254"/>
      <c r="K212" s="254"/>
      <c r="L212" s="254"/>
      <c r="M212" s="254"/>
      <c r="N212" s="254"/>
      <c r="O212" s="254"/>
      <c r="P212" s="254"/>
      <c r="Q212" s="254"/>
      <c r="R212" s="254"/>
      <c r="S212" s="254"/>
      <c r="T212" s="254"/>
      <c r="U212" s="254"/>
      <c r="V212" s="254"/>
    </row>
    <row r="213" spans="1:22" x14ac:dyDescent="0.35">
      <c r="A213" s="254"/>
      <c r="B213" s="254"/>
      <c r="C213" s="254"/>
      <c r="D213" s="254"/>
      <c r="E213" s="254"/>
      <c r="F213" s="254"/>
      <c r="G213" s="254"/>
      <c r="H213" s="254"/>
      <c r="I213" s="254"/>
      <c r="J213" s="254"/>
      <c r="K213" s="254"/>
      <c r="L213" s="254"/>
      <c r="M213" s="254"/>
      <c r="N213" s="254"/>
      <c r="O213" s="254"/>
      <c r="P213" s="254"/>
      <c r="Q213" s="254"/>
      <c r="R213" s="254"/>
      <c r="S213" s="254"/>
      <c r="T213" s="254"/>
      <c r="U213" s="254"/>
      <c r="V213" s="254"/>
    </row>
    <row r="214" spans="1:22" x14ac:dyDescent="0.35">
      <c r="A214" s="254"/>
      <c r="B214" s="254"/>
      <c r="C214" s="254"/>
      <c r="D214" s="254"/>
      <c r="E214" s="254"/>
      <c r="F214" s="254"/>
      <c r="G214" s="254"/>
      <c r="H214" s="254"/>
      <c r="I214" s="254"/>
      <c r="J214" s="254"/>
      <c r="K214" s="254"/>
      <c r="L214" s="254"/>
      <c r="M214" s="254"/>
      <c r="N214" s="254"/>
      <c r="O214" s="254"/>
      <c r="P214" s="254"/>
      <c r="Q214" s="254"/>
      <c r="R214" s="254"/>
      <c r="S214" s="254"/>
      <c r="T214" s="254"/>
      <c r="U214" s="254"/>
      <c r="V214" s="254"/>
    </row>
    <row r="215" spans="1:22" x14ac:dyDescent="0.35">
      <c r="A215" s="254"/>
      <c r="B215" s="254"/>
      <c r="C215" s="254"/>
      <c r="D215" s="254"/>
      <c r="E215" s="254"/>
      <c r="F215" s="254"/>
      <c r="G215" s="254"/>
      <c r="H215" s="254"/>
      <c r="I215" s="254"/>
      <c r="J215" s="254"/>
      <c r="K215" s="254"/>
      <c r="L215" s="254"/>
      <c r="M215" s="254"/>
      <c r="N215" s="254"/>
      <c r="O215" s="254"/>
      <c r="P215" s="254"/>
      <c r="Q215" s="254"/>
      <c r="R215" s="254"/>
      <c r="S215" s="254"/>
      <c r="T215" s="254"/>
      <c r="U215" s="254"/>
      <c r="V215" s="254"/>
    </row>
    <row r="216" spans="1:22" x14ac:dyDescent="0.35">
      <c r="A216" s="254"/>
      <c r="B216" s="254"/>
      <c r="C216" s="254"/>
      <c r="D216" s="254"/>
      <c r="E216" s="254"/>
      <c r="F216" s="254"/>
      <c r="G216" s="254"/>
      <c r="H216" s="254"/>
      <c r="I216" s="254"/>
      <c r="J216" s="254"/>
      <c r="K216" s="254"/>
      <c r="L216" s="254"/>
      <c r="M216" s="254"/>
      <c r="N216" s="254"/>
      <c r="O216" s="254"/>
      <c r="P216" s="254"/>
      <c r="Q216" s="254"/>
      <c r="R216" s="254"/>
      <c r="S216" s="254"/>
      <c r="T216" s="254"/>
      <c r="U216" s="254"/>
      <c r="V216" s="254"/>
    </row>
    <row r="217" spans="1:22" x14ac:dyDescent="0.35">
      <c r="A217" s="254"/>
      <c r="B217" s="254"/>
      <c r="C217" s="254"/>
      <c r="D217" s="254"/>
      <c r="E217" s="254"/>
      <c r="F217" s="254"/>
      <c r="G217" s="254"/>
      <c r="H217" s="254"/>
      <c r="I217" s="254"/>
      <c r="J217" s="254"/>
      <c r="K217" s="254"/>
      <c r="L217" s="254"/>
      <c r="M217" s="254"/>
      <c r="N217" s="254"/>
      <c r="O217" s="254"/>
      <c r="P217" s="254"/>
      <c r="Q217" s="254"/>
      <c r="R217" s="254"/>
      <c r="S217" s="254"/>
      <c r="T217" s="254"/>
      <c r="U217" s="254"/>
      <c r="V217" s="254"/>
    </row>
    <row r="218" spans="1:22" x14ac:dyDescent="0.35">
      <c r="A218" s="254"/>
      <c r="B218" s="254"/>
      <c r="C218" s="254"/>
      <c r="D218" s="254"/>
      <c r="E218" s="254"/>
      <c r="F218" s="254"/>
      <c r="G218" s="254"/>
      <c r="H218" s="254"/>
      <c r="I218" s="254"/>
      <c r="J218" s="254"/>
      <c r="K218" s="254"/>
      <c r="L218" s="254"/>
      <c r="M218" s="254"/>
      <c r="N218" s="254"/>
      <c r="O218" s="254"/>
      <c r="P218" s="254"/>
      <c r="Q218" s="254"/>
      <c r="R218" s="254"/>
      <c r="S218" s="254"/>
      <c r="T218" s="254"/>
      <c r="U218" s="254"/>
      <c r="V218" s="254"/>
    </row>
    <row r="219" spans="1:22" x14ac:dyDescent="0.35">
      <c r="A219" s="254"/>
      <c r="B219" s="254"/>
      <c r="C219" s="254"/>
      <c r="D219" s="254"/>
      <c r="E219" s="254"/>
      <c r="F219" s="254"/>
      <c r="G219" s="254"/>
      <c r="H219" s="254"/>
      <c r="I219" s="254"/>
      <c r="J219" s="254"/>
      <c r="K219" s="254"/>
      <c r="L219" s="254"/>
      <c r="M219" s="254"/>
      <c r="N219" s="254"/>
      <c r="O219" s="254"/>
      <c r="P219" s="254"/>
      <c r="Q219" s="254"/>
      <c r="R219" s="254"/>
      <c r="S219" s="254"/>
      <c r="T219" s="254"/>
      <c r="U219" s="254"/>
      <c r="V219" s="254"/>
    </row>
    <row r="220" spans="1:22" x14ac:dyDescent="0.35">
      <c r="A220" s="254"/>
      <c r="B220" s="254"/>
      <c r="C220" s="254"/>
      <c r="D220" s="254"/>
      <c r="E220" s="254"/>
      <c r="F220" s="254"/>
      <c r="G220" s="254"/>
      <c r="H220" s="254"/>
      <c r="I220" s="254"/>
      <c r="J220" s="254"/>
      <c r="K220" s="254"/>
      <c r="L220" s="254"/>
      <c r="M220" s="254"/>
      <c r="N220" s="254"/>
      <c r="O220" s="254"/>
      <c r="P220" s="254"/>
      <c r="Q220" s="254"/>
      <c r="R220" s="254"/>
      <c r="S220" s="254"/>
      <c r="T220" s="254"/>
      <c r="U220" s="254"/>
      <c r="V220" s="254"/>
    </row>
    <row r="221" spans="1:22" x14ac:dyDescent="0.35">
      <c r="A221" s="254"/>
      <c r="B221" s="254"/>
      <c r="C221" s="254"/>
      <c r="D221" s="254"/>
      <c r="E221" s="254"/>
      <c r="F221" s="254"/>
      <c r="G221" s="254"/>
      <c r="H221" s="254"/>
      <c r="I221" s="254"/>
      <c r="J221" s="254"/>
      <c r="K221" s="254"/>
      <c r="L221" s="254"/>
      <c r="M221" s="254"/>
      <c r="N221" s="254"/>
      <c r="O221" s="254"/>
      <c r="P221" s="254"/>
      <c r="Q221" s="254"/>
      <c r="R221" s="254"/>
      <c r="S221" s="254"/>
      <c r="T221" s="254"/>
      <c r="U221" s="254"/>
      <c r="V221" s="254"/>
    </row>
    <row r="222" spans="1:22" x14ac:dyDescent="0.35">
      <c r="A222" s="254"/>
      <c r="B222" s="254"/>
      <c r="C222" s="254"/>
      <c r="D222" s="254"/>
      <c r="E222" s="254"/>
      <c r="F222" s="254"/>
      <c r="G222" s="254"/>
      <c r="H222" s="254"/>
      <c r="I222" s="254"/>
      <c r="J222" s="254"/>
      <c r="K222" s="254"/>
      <c r="L222" s="254"/>
      <c r="M222" s="254"/>
      <c r="N222" s="254"/>
      <c r="O222" s="254"/>
      <c r="P222" s="254"/>
      <c r="Q222" s="254"/>
      <c r="R222" s="254"/>
      <c r="S222" s="254"/>
      <c r="T222" s="254"/>
      <c r="U222" s="254"/>
      <c r="V222" s="254"/>
    </row>
    <row r="223" spans="1:22" x14ac:dyDescent="0.35">
      <c r="A223" s="254"/>
      <c r="B223" s="254"/>
      <c r="C223" s="254"/>
      <c r="D223" s="254"/>
      <c r="E223" s="254"/>
      <c r="F223" s="254"/>
      <c r="G223" s="254"/>
      <c r="H223" s="254"/>
      <c r="I223" s="254"/>
      <c r="J223" s="254"/>
      <c r="K223" s="254"/>
      <c r="L223" s="254"/>
      <c r="M223" s="254"/>
      <c r="N223" s="254"/>
      <c r="O223" s="254"/>
      <c r="P223" s="254"/>
      <c r="Q223" s="254"/>
      <c r="R223" s="254"/>
      <c r="S223" s="254"/>
      <c r="T223" s="254"/>
      <c r="U223" s="254"/>
      <c r="V223" s="254"/>
    </row>
    <row r="224" spans="1:22" x14ac:dyDescent="0.35">
      <c r="A224" s="254"/>
      <c r="B224" s="254"/>
      <c r="C224" s="254"/>
      <c r="D224" s="254"/>
      <c r="E224" s="254"/>
      <c r="F224" s="254"/>
      <c r="G224" s="254"/>
      <c r="H224" s="254"/>
      <c r="I224" s="254"/>
      <c r="J224" s="254"/>
      <c r="K224" s="254"/>
      <c r="L224" s="254"/>
      <c r="M224" s="254"/>
      <c r="N224" s="254"/>
      <c r="O224" s="254"/>
      <c r="P224" s="254"/>
      <c r="Q224" s="254"/>
      <c r="R224" s="254"/>
      <c r="S224" s="254"/>
      <c r="T224" s="254"/>
      <c r="U224" s="254"/>
      <c r="V224" s="254"/>
    </row>
    <row r="225" spans="1:22" x14ac:dyDescent="0.35">
      <c r="A225" s="254"/>
      <c r="B225" s="254"/>
      <c r="C225" s="254"/>
      <c r="D225" s="254"/>
      <c r="E225" s="254"/>
      <c r="F225" s="254"/>
      <c r="G225" s="254"/>
      <c r="H225" s="254"/>
      <c r="I225" s="254"/>
      <c r="J225" s="254"/>
      <c r="K225" s="254"/>
      <c r="L225" s="254"/>
      <c r="M225" s="254"/>
      <c r="N225" s="254"/>
      <c r="O225" s="254"/>
      <c r="P225" s="254"/>
      <c r="Q225" s="254"/>
      <c r="R225" s="254"/>
      <c r="S225" s="254"/>
      <c r="T225" s="254"/>
      <c r="U225" s="254"/>
      <c r="V225" s="254"/>
    </row>
    <row r="226" spans="1:22" x14ac:dyDescent="0.35">
      <c r="A226" s="254"/>
      <c r="B226" s="254"/>
      <c r="C226" s="254"/>
      <c r="D226" s="254"/>
      <c r="E226" s="254"/>
      <c r="F226" s="254"/>
      <c r="G226" s="254"/>
      <c r="H226" s="254"/>
      <c r="I226" s="254"/>
      <c r="J226" s="254"/>
      <c r="K226" s="254"/>
      <c r="L226" s="254"/>
      <c r="M226" s="254"/>
      <c r="N226" s="254"/>
      <c r="O226" s="254"/>
      <c r="P226" s="254"/>
      <c r="Q226" s="254"/>
      <c r="R226" s="254"/>
      <c r="S226" s="254"/>
      <c r="T226" s="254"/>
      <c r="U226" s="254"/>
      <c r="V226" s="254"/>
    </row>
    <row r="227" spans="1:22" x14ac:dyDescent="0.35">
      <c r="A227" s="254"/>
      <c r="B227" s="254"/>
      <c r="C227" s="254"/>
      <c r="D227" s="254"/>
      <c r="E227" s="254"/>
      <c r="F227" s="254"/>
      <c r="G227" s="254"/>
      <c r="H227" s="254"/>
      <c r="I227" s="254"/>
      <c r="J227" s="254"/>
      <c r="K227" s="254"/>
      <c r="L227" s="254"/>
      <c r="M227" s="254"/>
      <c r="N227" s="254"/>
      <c r="O227" s="254"/>
      <c r="P227" s="254"/>
      <c r="Q227" s="254"/>
      <c r="R227" s="254"/>
      <c r="S227" s="254"/>
      <c r="T227" s="254"/>
      <c r="U227" s="254"/>
      <c r="V227" s="254"/>
    </row>
    <row r="228" spans="1:22" x14ac:dyDescent="0.35">
      <c r="A228" s="254"/>
      <c r="B228" s="254"/>
      <c r="C228" s="254"/>
      <c r="D228" s="254"/>
      <c r="E228" s="254"/>
      <c r="F228" s="254"/>
      <c r="G228" s="254"/>
      <c r="H228" s="254"/>
      <c r="I228" s="254"/>
      <c r="J228" s="254"/>
      <c r="K228" s="254"/>
      <c r="L228" s="254"/>
      <c r="M228" s="254"/>
      <c r="N228" s="254"/>
      <c r="O228" s="254"/>
      <c r="P228" s="254"/>
      <c r="Q228" s="254"/>
      <c r="R228" s="254"/>
      <c r="S228" s="254"/>
      <c r="T228" s="254"/>
      <c r="U228" s="254"/>
      <c r="V228" s="254"/>
    </row>
    <row r="229" spans="1:22" x14ac:dyDescent="0.35">
      <c r="A229" s="254"/>
      <c r="B229" s="254"/>
      <c r="C229" s="254"/>
      <c r="D229" s="254"/>
      <c r="E229" s="254"/>
      <c r="F229" s="254"/>
      <c r="G229" s="254"/>
      <c r="H229" s="254"/>
      <c r="I229" s="254"/>
      <c r="J229" s="254"/>
      <c r="K229" s="254"/>
      <c r="L229" s="254"/>
      <c r="M229" s="254"/>
      <c r="N229" s="254"/>
      <c r="O229" s="254"/>
      <c r="P229" s="254"/>
      <c r="Q229" s="254"/>
      <c r="R229" s="254"/>
      <c r="S229" s="254"/>
      <c r="T229" s="254"/>
      <c r="U229" s="254"/>
      <c r="V229" s="254"/>
    </row>
    <row r="230" spans="1:22" x14ac:dyDescent="0.35">
      <c r="A230" s="254"/>
      <c r="B230" s="254"/>
      <c r="C230" s="254"/>
      <c r="D230" s="254"/>
      <c r="E230" s="254"/>
      <c r="F230" s="254"/>
      <c r="G230" s="254"/>
      <c r="H230" s="254"/>
      <c r="I230" s="254"/>
      <c r="J230" s="254"/>
      <c r="K230" s="254"/>
      <c r="L230" s="254"/>
      <c r="M230" s="254"/>
      <c r="N230" s="254"/>
      <c r="O230" s="254"/>
      <c r="P230" s="254"/>
      <c r="Q230" s="254"/>
      <c r="R230" s="254"/>
      <c r="S230" s="254"/>
      <c r="T230" s="254"/>
      <c r="U230" s="254"/>
      <c r="V230" s="254"/>
    </row>
    <row r="231" spans="1:22" x14ac:dyDescent="0.35">
      <c r="A231" s="254"/>
      <c r="B231" s="254"/>
      <c r="C231" s="254"/>
      <c r="D231" s="254"/>
      <c r="E231" s="254"/>
      <c r="F231" s="254"/>
      <c r="G231" s="254"/>
      <c r="H231" s="254"/>
      <c r="I231" s="254"/>
      <c r="J231" s="254"/>
      <c r="K231" s="254"/>
      <c r="L231" s="254"/>
      <c r="M231" s="254"/>
      <c r="N231" s="254"/>
      <c r="O231" s="254"/>
      <c r="P231" s="254"/>
      <c r="Q231" s="254"/>
      <c r="R231" s="254"/>
      <c r="S231" s="254"/>
      <c r="T231" s="254"/>
      <c r="U231" s="254"/>
      <c r="V231" s="254"/>
    </row>
    <row r="232" spans="1:22" x14ac:dyDescent="0.35">
      <c r="A232" s="254"/>
      <c r="B232" s="254"/>
      <c r="C232" s="254"/>
      <c r="D232" s="254"/>
      <c r="E232" s="254"/>
      <c r="F232" s="254"/>
      <c r="G232" s="254"/>
      <c r="H232" s="254"/>
      <c r="I232" s="254"/>
      <c r="J232" s="254"/>
      <c r="K232" s="254"/>
      <c r="L232" s="254"/>
      <c r="M232" s="254"/>
      <c r="N232" s="254"/>
      <c r="O232" s="254"/>
      <c r="P232" s="254"/>
      <c r="Q232" s="254"/>
      <c r="R232" s="254"/>
      <c r="S232" s="254"/>
      <c r="T232" s="254"/>
      <c r="U232" s="254"/>
      <c r="V232" s="254"/>
    </row>
    <row r="233" spans="1:22" x14ac:dyDescent="0.35">
      <c r="A233" s="254"/>
      <c r="B233" s="254"/>
      <c r="C233" s="254"/>
      <c r="D233" s="254"/>
      <c r="E233" s="254"/>
      <c r="F233" s="254"/>
      <c r="G233" s="254"/>
      <c r="H233" s="254"/>
      <c r="I233" s="254"/>
      <c r="J233" s="254"/>
      <c r="K233" s="254"/>
      <c r="L233" s="254"/>
      <c r="M233" s="254"/>
      <c r="N233" s="254"/>
      <c r="O233" s="254"/>
      <c r="P233" s="254"/>
      <c r="Q233" s="254"/>
      <c r="R233" s="254"/>
      <c r="S233" s="254"/>
      <c r="T233" s="254"/>
      <c r="U233" s="254"/>
      <c r="V233" s="254"/>
    </row>
    <row r="234" spans="1:22" x14ac:dyDescent="0.35">
      <c r="A234" s="254"/>
      <c r="B234" s="254"/>
      <c r="C234" s="254"/>
      <c r="D234" s="254"/>
      <c r="E234" s="254"/>
      <c r="F234" s="254"/>
      <c r="G234" s="254"/>
      <c r="H234" s="254"/>
      <c r="I234" s="254"/>
      <c r="J234" s="254"/>
      <c r="K234" s="254"/>
      <c r="L234" s="254"/>
      <c r="M234" s="254"/>
      <c r="N234" s="254"/>
      <c r="O234" s="254"/>
      <c r="P234" s="254"/>
      <c r="Q234" s="254"/>
      <c r="R234" s="254"/>
      <c r="S234" s="254"/>
      <c r="T234" s="254"/>
      <c r="U234" s="254"/>
      <c r="V234" s="254"/>
    </row>
    <row r="235" spans="1:22" x14ac:dyDescent="0.35">
      <c r="A235" s="254"/>
      <c r="B235" s="254"/>
      <c r="C235" s="254"/>
      <c r="D235" s="254"/>
      <c r="E235" s="254"/>
      <c r="F235" s="254"/>
      <c r="G235" s="254"/>
      <c r="H235" s="254"/>
      <c r="I235" s="254"/>
      <c r="J235" s="254"/>
      <c r="K235" s="254"/>
      <c r="L235" s="254"/>
      <c r="M235" s="254"/>
      <c r="N235" s="254"/>
      <c r="O235" s="254"/>
      <c r="P235" s="254"/>
      <c r="Q235" s="254"/>
      <c r="R235" s="254"/>
      <c r="S235" s="254"/>
      <c r="T235" s="254"/>
      <c r="U235" s="254"/>
      <c r="V235" s="254"/>
    </row>
    <row r="236" spans="1:22" x14ac:dyDescent="0.35">
      <c r="A236" s="254"/>
      <c r="B236" s="254"/>
      <c r="C236" s="254"/>
      <c r="D236" s="254"/>
      <c r="E236" s="254"/>
      <c r="F236" s="254"/>
      <c r="G236" s="254"/>
      <c r="H236" s="254"/>
      <c r="I236" s="254"/>
      <c r="J236" s="254"/>
      <c r="K236" s="254"/>
      <c r="L236" s="254"/>
      <c r="M236" s="254"/>
      <c r="N236" s="254"/>
      <c r="O236" s="254"/>
      <c r="P236" s="254"/>
      <c r="Q236" s="254"/>
      <c r="R236" s="254"/>
      <c r="S236" s="254"/>
      <c r="T236" s="254"/>
      <c r="U236" s="254"/>
      <c r="V236" s="254"/>
    </row>
    <row r="237" spans="1:22" x14ac:dyDescent="0.35">
      <c r="A237" s="254"/>
      <c r="B237" s="254"/>
      <c r="C237" s="254"/>
      <c r="D237" s="254"/>
      <c r="E237" s="254"/>
      <c r="F237" s="254"/>
      <c r="G237" s="254"/>
      <c r="H237" s="254"/>
      <c r="I237" s="254"/>
      <c r="J237" s="254"/>
      <c r="K237" s="254"/>
      <c r="L237" s="254"/>
      <c r="M237" s="254"/>
      <c r="N237" s="254"/>
      <c r="O237" s="254"/>
      <c r="P237" s="254"/>
      <c r="Q237" s="254"/>
      <c r="R237" s="254"/>
      <c r="S237" s="254"/>
      <c r="T237" s="254"/>
      <c r="U237" s="254"/>
      <c r="V237" s="254"/>
    </row>
    <row r="238" spans="1:22" x14ac:dyDescent="0.35">
      <c r="A238" s="254"/>
      <c r="B238" s="254"/>
      <c r="C238" s="254"/>
      <c r="D238" s="254"/>
      <c r="E238" s="254"/>
      <c r="F238" s="254"/>
      <c r="G238" s="254"/>
      <c r="H238" s="254"/>
      <c r="I238" s="254"/>
      <c r="J238" s="254"/>
      <c r="K238" s="254"/>
      <c r="L238" s="254"/>
      <c r="M238" s="254"/>
      <c r="N238" s="254"/>
      <c r="O238" s="254"/>
      <c r="P238" s="254"/>
      <c r="Q238" s="254"/>
      <c r="R238" s="254"/>
      <c r="S238" s="254"/>
      <c r="T238" s="254"/>
      <c r="U238" s="254"/>
      <c r="V238" s="254"/>
    </row>
    <row r="239" spans="1:22" x14ac:dyDescent="0.35">
      <c r="A239" s="254"/>
      <c r="B239" s="254"/>
      <c r="C239" s="254"/>
      <c r="D239" s="254"/>
      <c r="E239" s="254"/>
      <c r="F239" s="254"/>
      <c r="G239" s="254"/>
      <c r="H239" s="254"/>
      <c r="I239" s="254"/>
      <c r="J239" s="254"/>
      <c r="K239" s="254"/>
      <c r="L239" s="254"/>
      <c r="M239" s="254"/>
      <c r="N239" s="254"/>
      <c r="O239" s="254"/>
      <c r="P239" s="254"/>
      <c r="Q239" s="254"/>
      <c r="R239" s="254"/>
      <c r="S239" s="254"/>
      <c r="T239" s="254"/>
      <c r="U239" s="254"/>
      <c r="V239" s="254"/>
    </row>
    <row r="240" spans="1:22" x14ac:dyDescent="0.35">
      <c r="A240" s="254"/>
      <c r="B240" s="254"/>
      <c r="C240" s="254"/>
      <c r="D240" s="254"/>
      <c r="E240" s="254"/>
      <c r="F240" s="254"/>
      <c r="G240" s="254"/>
      <c r="H240" s="254"/>
      <c r="I240" s="254"/>
      <c r="J240" s="254"/>
      <c r="K240" s="254"/>
      <c r="L240" s="254"/>
      <c r="M240" s="254"/>
      <c r="N240" s="254"/>
      <c r="O240" s="254"/>
      <c r="P240" s="254"/>
      <c r="Q240" s="254"/>
      <c r="R240" s="254"/>
      <c r="S240" s="254"/>
      <c r="T240" s="254"/>
      <c r="U240" s="254"/>
      <c r="V240" s="254"/>
    </row>
    <row r="241" spans="1:22" x14ac:dyDescent="0.35">
      <c r="A241" s="254"/>
      <c r="B241" s="254"/>
      <c r="C241" s="254"/>
      <c r="D241" s="254"/>
      <c r="E241" s="254"/>
      <c r="F241" s="254"/>
      <c r="G241" s="254"/>
      <c r="H241" s="254"/>
      <c r="I241" s="254"/>
      <c r="J241" s="254"/>
      <c r="K241" s="254"/>
      <c r="L241" s="254"/>
      <c r="M241" s="254"/>
      <c r="N241" s="254"/>
      <c r="O241" s="254"/>
      <c r="P241" s="254"/>
      <c r="Q241" s="254"/>
      <c r="R241" s="254"/>
      <c r="S241" s="254"/>
      <c r="T241" s="254"/>
      <c r="U241" s="254"/>
      <c r="V241" s="254"/>
    </row>
    <row r="242" spans="1:22" x14ac:dyDescent="0.35">
      <c r="A242" s="254"/>
      <c r="B242" s="254"/>
      <c r="C242" s="254"/>
      <c r="D242" s="254"/>
      <c r="E242" s="254"/>
      <c r="F242" s="254"/>
      <c r="G242" s="254"/>
      <c r="H242" s="254"/>
      <c r="I242" s="254"/>
      <c r="J242" s="254"/>
      <c r="K242" s="254"/>
      <c r="L242" s="254"/>
      <c r="M242" s="254"/>
      <c r="N242" s="254"/>
      <c r="O242" s="254"/>
      <c r="P242" s="254"/>
      <c r="Q242" s="254"/>
      <c r="R242" s="254"/>
      <c r="S242" s="254"/>
      <c r="T242" s="254"/>
      <c r="U242" s="254"/>
      <c r="V242" s="254"/>
    </row>
    <row r="243" spans="1:22" x14ac:dyDescent="0.35">
      <c r="A243" s="254"/>
      <c r="B243" s="254"/>
      <c r="C243" s="254"/>
      <c r="D243" s="254"/>
      <c r="E243" s="254"/>
      <c r="F243" s="254"/>
      <c r="G243" s="254"/>
      <c r="H243" s="254"/>
      <c r="I243" s="254"/>
      <c r="J243" s="254"/>
      <c r="K243" s="254"/>
      <c r="L243" s="254"/>
      <c r="M243" s="254"/>
      <c r="N243" s="254"/>
      <c r="O243" s="254"/>
      <c r="P243" s="254"/>
      <c r="Q243" s="254"/>
      <c r="R243" s="254"/>
      <c r="S243" s="254"/>
      <c r="T243" s="254"/>
      <c r="U243" s="254"/>
      <c r="V243" s="254"/>
    </row>
    <row r="244" spans="1:22" x14ac:dyDescent="0.35">
      <c r="A244" s="254"/>
      <c r="B244" s="254"/>
      <c r="C244" s="254"/>
      <c r="D244" s="254"/>
      <c r="E244" s="254"/>
      <c r="F244" s="254"/>
      <c r="G244" s="254"/>
      <c r="H244" s="254"/>
      <c r="I244" s="254"/>
      <c r="J244" s="254"/>
      <c r="K244" s="254"/>
      <c r="L244" s="254"/>
      <c r="M244" s="254"/>
      <c r="N244" s="254"/>
      <c r="O244" s="254"/>
      <c r="P244" s="254"/>
      <c r="Q244" s="254"/>
      <c r="R244" s="254"/>
      <c r="S244" s="254"/>
      <c r="T244" s="254"/>
      <c r="U244" s="254"/>
      <c r="V244" s="254"/>
    </row>
    <row r="245" spans="1:22" x14ac:dyDescent="0.35">
      <c r="A245" s="254"/>
      <c r="B245" s="254"/>
      <c r="C245" s="254"/>
      <c r="D245" s="254"/>
      <c r="E245" s="254"/>
      <c r="F245" s="254"/>
      <c r="G245" s="254"/>
      <c r="H245" s="254"/>
      <c r="I245" s="254"/>
      <c r="J245" s="254"/>
      <c r="K245" s="254"/>
      <c r="L245" s="254"/>
      <c r="M245" s="254"/>
      <c r="N245" s="254"/>
      <c r="O245" s="254"/>
      <c r="P245" s="254"/>
      <c r="Q245" s="254"/>
      <c r="R245" s="254"/>
      <c r="S245" s="254"/>
      <c r="T245" s="254"/>
      <c r="U245" s="254"/>
      <c r="V245" s="254"/>
    </row>
    <row r="246" spans="1:22" x14ac:dyDescent="0.35">
      <c r="A246" s="254"/>
      <c r="B246" s="254"/>
      <c r="C246" s="254"/>
      <c r="D246" s="254"/>
      <c r="E246" s="254"/>
      <c r="F246" s="254"/>
      <c r="G246" s="254"/>
      <c r="H246" s="254"/>
      <c r="I246" s="254"/>
      <c r="J246" s="254"/>
      <c r="K246" s="254"/>
      <c r="L246" s="254"/>
      <c r="M246" s="254"/>
      <c r="N246" s="254"/>
      <c r="O246" s="254"/>
      <c r="P246" s="254"/>
      <c r="Q246" s="254"/>
      <c r="R246" s="254"/>
      <c r="S246" s="254"/>
      <c r="T246" s="254"/>
      <c r="U246" s="254"/>
      <c r="V246" s="254"/>
    </row>
    <row r="247" spans="1:22" x14ac:dyDescent="0.35">
      <c r="A247" s="254"/>
      <c r="B247" s="254"/>
      <c r="C247" s="254"/>
      <c r="D247" s="254"/>
      <c r="E247" s="254"/>
      <c r="F247" s="254"/>
      <c r="G247" s="254"/>
      <c r="H247" s="254"/>
      <c r="I247" s="254"/>
      <c r="J247" s="254"/>
      <c r="K247" s="254"/>
      <c r="L247" s="254"/>
      <c r="M247" s="254"/>
      <c r="N247" s="254"/>
      <c r="O247" s="254"/>
      <c r="P247" s="254"/>
      <c r="Q247" s="254"/>
      <c r="R247" s="254"/>
      <c r="S247" s="254"/>
      <c r="T247" s="254"/>
      <c r="U247" s="254"/>
      <c r="V247" s="254"/>
    </row>
    <row r="248" spans="1:22" x14ac:dyDescent="0.35">
      <c r="A248" s="254"/>
      <c r="B248" s="254"/>
      <c r="C248" s="254"/>
      <c r="D248" s="254"/>
      <c r="E248" s="254"/>
      <c r="F248" s="254"/>
      <c r="G248" s="254"/>
      <c r="H248" s="254"/>
      <c r="I248" s="254"/>
      <c r="J248" s="254"/>
      <c r="K248" s="254"/>
      <c r="L248" s="254"/>
      <c r="M248" s="254"/>
      <c r="N248" s="254"/>
      <c r="O248" s="254"/>
      <c r="P248" s="254"/>
      <c r="Q248" s="254"/>
      <c r="R248" s="254"/>
      <c r="S248" s="254"/>
      <c r="T248" s="254"/>
      <c r="U248" s="254"/>
      <c r="V248" s="254"/>
    </row>
    <row r="249" spans="1:22" x14ac:dyDescent="0.35">
      <c r="A249" s="254"/>
      <c r="B249" s="254"/>
      <c r="C249" s="254"/>
      <c r="D249" s="254"/>
      <c r="E249" s="254"/>
      <c r="F249" s="254"/>
      <c r="G249" s="254"/>
      <c r="H249" s="254"/>
      <c r="I249" s="254"/>
      <c r="J249" s="254"/>
      <c r="K249" s="254"/>
      <c r="L249" s="254"/>
      <c r="M249" s="254"/>
      <c r="N249" s="254"/>
      <c r="O249" s="254"/>
      <c r="P249" s="254"/>
      <c r="Q249" s="254"/>
      <c r="R249" s="254"/>
      <c r="S249" s="254"/>
      <c r="T249" s="254"/>
      <c r="U249" s="254"/>
      <c r="V249" s="254"/>
    </row>
    <row r="250" spans="1:22" x14ac:dyDescent="0.35">
      <c r="A250" s="254"/>
      <c r="B250" s="254"/>
      <c r="C250" s="254"/>
      <c r="D250" s="254"/>
      <c r="E250" s="254"/>
      <c r="F250" s="254"/>
      <c r="G250" s="254"/>
      <c r="H250" s="254"/>
      <c r="I250" s="254"/>
      <c r="J250" s="254"/>
      <c r="K250" s="254"/>
      <c r="L250" s="254"/>
      <c r="M250" s="254"/>
      <c r="N250" s="254"/>
      <c r="O250" s="254"/>
      <c r="P250" s="254"/>
      <c r="Q250" s="254"/>
      <c r="R250" s="254"/>
      <c r="S250" s="254"/>
      <c r="T250" s="254"/>
      <c r="U250" s="254"/>
      <c r="V250" s="254"/>
    </row>
    <row r="251" spans="1:22" x14ac:dyDescent="0.35">
      <c r="A251" s="254"/>
      <c r="B251" s="254"/>
      <c r="C251" s="254"/>
      <c r="D251" s="254"/>
      <c r="E251" s="254"/>
      <c r="F251" s="254"/>
      <c r="G251" s="254"/>
      <c r="H251" s="254"/>
      <c r="I251" s="254"/>
      <c r="J251" s="254"/>
      <c r="K251" s="254"/>
      <c r="L251" s="254"/>
      <c r="M251" s="254"/>
      <c r="N251" s="254"/>
      <c r="O251" s="254"/>
      <c r="P251" s="254"/>
      <c r="Q251" s="254"/>
      <c r="R251" s="254"/>
      <c r="S251" s="254"/>
      <c r="T251" s="254"/>
      <c r="U251" s="254"/>
      <c r="V251" s="254"/>
    </row>
    <row r="252" spans="1:22" x14ac:dyDescent="0.35">
      <c r="A252" s="254"/>
      <c r="B252" s="254"/>
      <c r="C252" s="254"/>
      <c r="D252" s="254"/>
      <c r="E252" s="254"/>
      <c r="F252" s="254"/>
      <c r="G252" s="254"/>
      <c r="H252" s="254"/>
      <c r="I252" s="254"/>
      <c r="J252" s="254"/>
      <c r="K252" s="254"/>
      <c r="L252" s="254"/>
      <c r="M252" s="254"/>
      <c r="N252" s="254"/>
      <c r="O252" s="254"/>
      <c r="P252" s="254"/>
      <c r="Q252" s="254"/>
      <c r="R252" s="254"/>
      <c r="S252" s="254"/>
      <c r="T252" s="254"/>
      <c r="U252" s="254"/>
      <c r="V252" s="254"/>
    </row>
    <row r="253" spans="1:22" x14ac:dyDescent="0.35">
      <c r="A253" s="254"/>
      <c r="B253" s="254"/>
      <c r="C253" s="254"/>
      <c r="D253" s="254"/>
      <c r="E253" s="254"/>
      <c r="F253" s="254"/>
      <c r="G253" s="254"/>
      <c r="H253" s="254"/>
      <c r="I253" s="254"/>
      <c r="J253" s="254"/>
      <c r="K253" s="254"/>
      <c r="L253" s="254"/>
      <c r="M253" s="254"/>
      <c r="N253" s="254"/>
      <c r="O253" s="254"/>
      <c r="P253" s="254"/>
      <c r="Q253" s="254"/>
      <c r="R253" s="254"/>
      <c r="S253" s="254"/>
      <c r="T253" s="254"/>
      <c r="U253" s="254"/>
      <c r="V253" s="254"/>
    </row>
    <row r="254" spans="1:22" x14ac:dyDescent="0.35">
      <c r="A254" s="254"/>
      <c r="B254" s="254"/>
      <c r="C254" s="254"/>
      <c r="D254" s="254"/>
      <c r="E254" s="254"/>
      <c r="F254" s="254"/>
      <c r="G254" s="254"/>
      <c r="H254" s="254"/>
      <c r="I254" s="254"/>
      <c r="J254" s="254"/>
      <c r="K254" s="254"/>
      <c r="L254" s="254"/>
      <c r="M254" s="254"/>
      <c r="N254" s="254"/>
      <c r="O254" s="254"/>
      <c r="P254" s="254"/>
      <c r="Q254" s="254"/>
      <c r="R254" s="254"/>
      <c r="S254" s="254"/>
      <c r="T254" s="254"/>
      <c r="U254" s="254"/>
      <c r="V254" s="254"/>
    </row>
    <row r="255" spans="1:22" x14ac:dyDescent="0.35">
      <c r="A255" s="254"/>
      <c r="B255" s="254"/>
      <c r="C255" s="254"/>
      <c r="D255" s="254"/>
      <c r="E255" s="254"/>
      <c r="F255" s="254"/>
      <c r="G255" s="254"/>
      <c r="H255" s="254"/>
      <c r="I255" s="254"/>
      <c r="J255" s="254"/>
      <c r="K255" s="254"/>
      <c r="L255" s="254"/>
      <c r="M255" s="254"/>
      <c r="N255" s="254"/>
      <c r="O255" s="254"/>
      <c r="P255" s="254"/>
      <c r="Q255" s="254"/>
      <c r="R255" s="254"/>
      <c r="S255" s="254"/>
      <c r="T255" s="254"/>
      <c r="U255" s="254"/>
      <c r="V255" s="254"/>
    </row>
    <row r="256" spans="1:22" x14ac:dyDescent="0.35">
      <c r="A256" s="254"/>
      <c r="B256" s="254"/>
      <c r="C256" s="254"/>
      <c r="D256" s="254"/>
      <c r="E256" s="254"/>
      <c r="F256" s="254"/>
      <c r="G256" s="254"/>
      <c r="H256" s="254"/>
      <c r="I256" s="254"/>
      <c r="J256" s="254"/>
      <c r="K256" s="254"/>
      <c r="L256" s="254"/>
      <c r="M256" s="254"/>
      <c r="N256" s="254"/>
      <c r="O256" s="254"/>
      <c r="P256" s="254"/>
      <c r="Q256" s="254"/>
      <c r="R256" s="254"/>
      <c r="S256" s="254"/>
      <c r="T256" s="254"/>
      <c r="U256" s="254"/>
      <c r="V256" s="254"/>
    </row>
    <row r="257" spans="1:22" x14ac:dyDescent="0.35">
      <c r="A257" s="254"/>
      <c r="B257" s="254"/>
      <c r="C257" s="254"/>
      <c r="D257" s="254"/>
      <c r="E257" s="254"/>
      <c r="F257" s="254"/>
      <c r="G257" s="254"/>
      <c r="H257" s="254"/>
      <c r="I257" s="254"/>
      <c r="J257" s="254"/>
      <c r="K257" s="254"/>
      <c r="L257" s="254"/>
      <c r="M257" s="254"/>
      <c r="N257" s="254"/>
      <c r="O257" s="254"/>
      <c r="P257" s="254"/>
      <c r="Q257" s="254"/>
      <c r="R257" s="254"/>
      <c r="S257" s="254"/>
      <c r="T257" s="254"/>
      <c r="U257" s="254"/>
      <c r="V257" s="254"/>
    </row>
    <row r="258" spans="1:22" x14ac:dyDescent="0.35">
      <c r="A258" s="254"/>
      <c r="B258" s="254"/>
      <c r="C258" s="254"/>
      <c r="D258" s="254"/>
      <c r="E258" s="254"/>
      <c r="F258" s="254"/>
      <c r="G258" s="254"/>
      <c r="H258" s="254"/>
      <c r="I258" s="254"/>
      <c r="J258" s="254"/>
      <c r="K258" s="254"/>
      <c r="L258" s="254"/>
      <c r="M258" s="254"/>
      <c r="N258" s="254"/>
      <c r="O258" s="254"/>
      <c r="P258" s="254"/>
      <c r="Q258" s="254"/>
      <c r="R258" s="254"/>
      <c r="S258" s="254"/>
      <c r="T258" s="254"/>
      <c r="U258" s="254"/>
      <c r="V258" s="254"/>
    </row>
    <row r="259" spans="1:22" x14ac:dyDescent="0.35">
      <c r="A259" s="254"/>
      <c r="B259" s="254"/>
      <c r="C259" s="254"/>
      <c r="D259" s="254"/>
      <c r="E259" s="254"/>
      <c r="F259" s="254"/>
      <c r="G259" s="254"/>
      <c r="H259" s="254"/>
      <c r="I259" s="254"/>
      <c r="J259" s="254"/>
      <c r="K259" s="254"/>
      <c r="L259" s="254"/>
      <c r="M259" s="254"/>
      <c r="N259" s="254"/>
      <c r="O259" s="254"/>
      <c r="P259" s="254"/>
      <c r="Q259" s="254"/>
      <c r="R259" s="254"/>
      <c r="S259" s="254"/>
      <c r="T259" s="254"/>
      <c r="U259" s="254"/>
      <c r="V259" s="254"/>
    </row>
    <row r="260" spans="1:22" x14ac:dyDescent="0.35">
      <c r="A260" s="254"/>
      <c r="B260" s="254"/>
      <c r="C260" s="254"/>
      <c r="D260" s="254"/>
      <c r="E260" s="254"/>
      <c r="F260" s="254"/>
      <c r="G260" s="254"/>
      <c r="H260" s="254"/>
      <c r="I260" s="254"/>
      <c r="J260" s="254"/>
      <c r="K260" s="254"/>
      <c r="L260" s="254"/>
      <c r="M260" s="254"/>
      <c r="N260" s="254"/>
      <c r="O260" s="254"/>
      <c r="P260" s="254"/>
      <c r="Q260" s="254"/>
      <c r="R260" s="254"/>
      <c r="S260" s="254"/>
      <c r="T260" s="254"/>
      <c r="U260" s="254"/>
      <c r="V260" s="254"/>
    </row>
    <row r="261" spans="1:22" x14ac:dyDescent="0.35">
      <c r="A261" s="254"/>
      <c r="B261" s="254"/>
      <c r="C261" s="254"/>
      <c r="D261" s="254"/>
      <c r="E261" s="254"/>
      <c r="F261" s="254"/>
      <c r="G261" s="254"/>
      <c r="H261" s="254"/>
      <c r="I261" s="254"/>
      <c r="J261" s="254"/>
      <c r="K261" s="254"/>
      <c r="L261" s="254"/>
      <c r="M261" s="254"/>
      <c r="N261" s="254"/>
      <c r="O261" s="254"/>
      <c r="P261" s="254"/>
      <c r="Q261" s="254"/>
      <c r="R261" s="254"/>
      <c r="S261" s="254"/>
      <c r="T261" s="254"/>
      <c r="U261" s="254"/>
      <c r="V261" s="254"/>
    </row>
    <row r="262" spans="1:22" x14ac:dyDescent="0.35">
      <c r="A262" s="254"/>
      <c r="B262" s="254"/>
      <c r="C262" s="254"/>
      <c r="D262" s="254"/>
      <c r="E262" s="254"/>
      <c r="F262" s="254"/>
      <c r="G262" s="254"/>
      <c r="H262" s="254"/>
      <c r="I262" s="254"/>
      <c r="J262" s="254"/>
      <c r="K262" s="254"/>
      <c r="L262" s="254"/>
      <c r="M262" s="254"/>
      <c r="N262" s="254"/>
      <c r="O262" s="254"/>
      <c r="P262" s="254"/>
      <c r="Q262" s="254"/>
      <c r="R262" s="254"/>
      <c r="S262" s="254"/>
      <c r="T262" s="254"/>
      <c r="U262" s="254"/>
      <c r="V262" s="254"/>
    </row>
    <row r="263" spans="1:22" x14ac:dyDescent="0.35">
      <c r="A263" s="254"/>
      <c r="B263" s="254"/>
      <c r="C263" s="254"/>
      <c r="D263" s="254"/>
      <c r="E263" s="254"/>
      <c r="F263" s="254"/>
      <c r="G263" s="254"/>
      <c r="H263" s="254"/>
      <c r="I263" s="254"/>
      <c r="J263" s="254"/>
      <c r="K263" s="254"/>
      <c r="L263" s="254"/>
      <c r="M263" s="254"/>
      <c r="N263" s="254"/>
      <c r="O263" s="254"/>
      <c r="P263" s="254"/>
      <c r="Q263" s="254"/>
      <c r="R263" s="254"/>
      <c r="S263" s="254"/>
      <c r="T263" s="254"/>
      <c r="U263" s="254"/>
      <c r="V263" s="254"/>
    </row>
    <row r="264" spans="1:22" x14ac:dyDescent="0.35">
      <c r="A264" s="254"/>
      <c r="B264" s="254"/>
      <c r="C264" s="254"/>
      <c r="D264" s="254"/>
      <c r="E264" s="254"/>
      <c r="F264" s="254"/>
      <c r="G264" s="254"/>
      <c r="H264" s="254"/>
      <c r="I264" s="254"/>
      <c r="J264" s="254"/>
      <c r="K264" s="254"/>
      <c r="L264" s="254"/>
      <c r="M264" s="254"/>
      <c r="N264" s="254"/>
      <c r="O264" s="254"/>
      <c r="P264" s="254"/>
      <c r="Q264" s="254"/>
      <c r="R264" s="254"/>
      <c r="S264" s="254"/>
      <c r="T264" s="254"/>
      <c r="U264" s="254"/>
      <c r="V264" s="254"/>
    </row>
    <row r="265" spans="1:22" x14ac:dyDescent="0.35">
      <c r="A265" s="254"/>
      <c r="B265" s="254"/>
      <c r="C265" s="254"/>
      <c r="D265" s="254"/>
      <c r="E265" s="254"/>
      <c r="F265" s="254"/>
      <c r="G265" s="254"/>
      <c r="H265" s="254"/>
      <c r="I265" s="254"/>
      <c r="J265" s="254"/>
      <c r="K265" s="254"/>
      <c r="L265" s="254"/>
      <c r="M265" s="254"/>
      <c r="N265" s="254"/>
      <c r="O265" s="254"/>
      <c r="P265" s="254"/>
      <c r="Q265" s="254"/>
      <c r="R265" s="254"/>
      <c r="S265" s="254"/>
      <c r="T265" s="254"/>
      <c r="U265" s="254"/>
      <c r="V265" s="254"/>
    </row>
  </sheetData>
  <mergeCells count="1">
    <mergeCell ref="A4:F9"/>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6"/>
  <sheetViews>
    <sheetView workbookViewId="0">
      <selection activeCell="D56" sqref="D56"/>
    </sheetView>
  </sheetViews>
  <sheetFormatPr defaultRowHeight="14.5" x14ac:dyDescent="0.35"/>
  <cols>
    <col min="1" max="1" width="9.1796875" customWidth="1"/>
    <col min="2" max="2" width="17.54296875" customWidth="1"/>
    <col min="3" max="3" width="10.26953125" customWidth="1"/>
    <col min="4" max="4" width="14" customWidth="1"/>
    <col min="5" max="5" width="15" customWidth="1"/>
    <col min="6" max="6" width="9.1796875" customWidth="1"/>
    <col min="7" max="7" width="11.7265625" customWidth="1"/>
    <col min="8" max="8" width="10.54296875" customWidth="1"/>
    <col min="9" max="11" width="9.1796875" customWidth="1"/>
    <col min="12" max="12" width="35.1796875" bestFit="1" customWidth="1"/>
    <col min="13" max="13" width="9.1796875" customWidth="1"/>
    <col min="15" max="15" width="9.81640625" customWidth="1"/>
  </cols>
  <sheetData>
    <row r="2" spans="2:7" x14ac:dyDescent="0.35">
      <c r="B2" s="2" t="s">
        <v>375</v>
      </c>
    </row>
    <row r="3" spans="2:7" ht="40.5" customHeight="1" x14ac:dyDescent="0.35">
      <c r="B3" s="467" t="s">
        <v>376</v>
      </c>
      <c r="C3" s="467"/>
      <c r="D3" s="467"/>
      <c r="E3" s="467"/>
      <c r="F3" s="467"/>
      <c r="G3" s="467"/>
    </row>
    <row r="4" spans="2:7" ht="30" customHeight="1" x14ac:dyDescent="0.35">
      <c r="B4" s="467" t="s">
        <v>377</v>
      </c>
      <c r="C4" s="467"/>
      <c r="D4" s="467"/>
      <c r="E4" s="467"/>
      <c r="F4" s="467"/>
      <c r="G4" s="467"/>
    </row>
    <row r="5" spans="2:7" ht="39" customHeight="1" x14ac:dyDescent="0.35">
      <c r="B5" s="467" t="s">
        <v>378</v>
      </c>
      <c r="C5" s="467"/>
      <c r="D5" s="467"/>
      <c r="E5" s="467"/>
      <c r="F5" s="467"/>
      <c r="G5" s="467"/>
    </row>
    <row r="6" spans="2:7" ht="35.25" customHeight="1" x14ac:dyDescent="0.35">
      <c r="B6" s="467" t="s">
        <v>379</v>
      </c>
      <c r="C6" s="467"/>
      <c r="D6" s="467"/>
      <c r="E6" s="467"/>
      <c r="F6" s="467"/>
      <c r="G6" s="467"/>
    </row>
    <row r="7" spans="2:7" ht="56.25" customHeight="1" x14ac:dyDescent="0.35">
      <c r="B7" s="467" t="s">
        <v>380</v>
      </c>
      <c r="C7" s="467"/>
      <c r="D7" s="467"/>
      <c r="E7" s="467"/>
      <c r="F7" s="467"/>
      <c r="G7" s="467"/>
    </row>
    <row r="8" spans="2:7" x14ac:dyDescent="0.35">
      <c r="B8" s="205" t="s">
        <v>381</v>
      </c>
    </row>
    <row r="9" spans="2:7" x14ac:dyDescent="0.35">
      <c r="B9" s="467" t="s">
        <v>382</v>
      </c>
      <c r="C9" s="467"/>
      <c r="D9" s="467"/>
      <c r="E9" s="467"/>
      <c r="F9" s="467"/>
      <c r="G9" s="467"/>
    </row>
    <row r="10" spans="2:7" x14ac:dyDescent="0.35">
      <c r="B10" s="467" t="s">
        <v>383</v>
      </c>
      <c r="C10" s="467"/>
      <c r="D10" s="467"/>
      <c r="E10" s="467"/>
      <c r="F10" s="467"/>
      <c r="G10" s="467"/>
    </row>
    <row r="11" spans="2:7" ht="71.25" customHeight="1" x14ac:dyDescent="0.35">
      <c r="B11" s="466" t="s">
        <v>384</v>
      </c>
      <c r="C11" s="466"/>
      <c r="D11" s="466"/>
      <c r="E11" s="466"/>
      <c r="F11" s="466"/>
      <c r="G11" s="466"/>
    </row>
    <row r="12" spans="2:7" x14ac:dyDescent="0.35">
      <c r="B12" s="21"/>
    </row>
    <row r="13" spans="2:7" x14ac:dyDescent="0.35">
      <c r="B13" s="205" t="s">
        <v>385</v>
      </c>
    </row>
    <row r="14" spans="2:7" ht="52.5" customHeight="1" x14ac:dyDescent="0.35">
      <c r="B14" s="467" t="s">
        <v>386</v>
      </c>
      <c r="C14" s="467"/>
      <c r="D14" s="467"/>
      <c r="E14" s="467"/>
      <c r="F14" s="467"/>
      <c r="G14" s="467"/>
    </row>
    <row r="15" spans="2:7" ht="48" customHeight="1" x14ac:dyDescent="0.35">
      <c r="B15" s="467" t="s">
        <v>387</v>
      </c>
      <c r="C15" s="467"/>
      <c r="D15" s="467"/>
      <c r="E15" s="467"/>
      <c r="F15" s="467"/>
      <c r="G15" s="467"/>
    </row>
    <row r="16" spans="2:7" ht="39.75" customHeight="1" x14ac:dyDescent="0.35">
      <c r="B16" s="467" t="s">
        <v>388</v>
      </c>
      <c r="C16" s="467"/>
      <c r="D16" s="467"/>
      <c r="E16" s="467"/>
      <c r="F16" s="467"/>
      <c r="G16" s="467"/>
    </row>
    <row r="17" spans="2:14" ht="66" customHeight="1" x14ac:dyDescent="0.35">
      <c r="B17" s="467" t="s">
        <v>389</v>
      </c>
      <c r="C17" s="467"/>
      <c r="D17" s="467"/>
      <c r="E17" s="467"/>
      <c r="F17" s="467"/>
      <c r="G17" s="467"/>
    </row>
    <row r="18" spans="2:14" ht="36" customHeight="1" x14ac:dyDescent="0.35">
      <c r="B18" s="467" t="s">
        <v>390</v>
      </c>
      <c r="C18" s="467"/>
      <c r="D18" s="467"/>
      <c r="E18" s="467"/>
      <c r="F18" s="467"/>
      <c r="G18" s="467"/>
    </row>
    <row r="19" spans="2:14" x14ac:dyDescent="0.35">
      <c r="B19" s="205" t="s">
        <v>391</v>
      </c>
    </row>
    <row r="20" spans="2:14" ht="34.5" customHeight="1" x14ac:dyDescent="0.35">
      <c r="B20" s="467" t="s">
        <v>392</v>
      </c>
      <c r="C20" s="467"/>
      <c r="D20" s="467"/>
      <c r="E20" s="467"/>
      <c r="F20" s="467"/>
      <c r="G20" s="467"/>
    </row>
    <row r="21" spans="2:14" ht="38.25" customHeight="1" x14ac:dyDescent="0.35">
      <c r="B21" s="467" t="s">
        <v>393</v>
      </c>
      <c r="C21" s="467"/>
      <c r="D21" s="467"/>
      <c r="E21" s="467"/>
      <c r="F21" s="467"/>
      <c r="G21" s="467"/>
    </row>
    <row r="22" spans="2:14" ht="34.5" customHeight="1" x14ac:dyDescent="0.35">
      <c r="B22" s="467" t="s">
        <v>394</v>
      </c>
      <c r="C22" s="467"/>
      <c r="D22" s="467"/>
      <c r="E22" s="467"/>
      <c r="F22" s="467"/>
      <c r="G22" s="467"/>
    </row>
    <row r="27" spans="2:14" x14ac:dyDescent="0.35">
      <c r="B27" s="468" t="s">
        <v>395</v>
      </c>
      <c r="C27" s="468"/>
      <c r="D27" s="468"/>
      <c r="E27" s="468"/>
      <c r="F27" s="468"/>
      <c r="G27" s="468"/>
      <c r="H27" s="468"/>
    </row>
    <row r="28" spans="2:14" x14ac:dyDescent="0.35">
      <c r="B28" s="142"/>
      <c r="C28" s="469" t="s">
        <v>396</v>
      </c>
      <c r="D28" s="469"/>
      <c r="E28" s="469"/>
      <c r="F28" s="469" t="s">
        <v>108</v>
      </c>
      <c r="G28" s="469"/>
      <c r="H28" s="469"/>
    </row>
    <row r="29" spans="2:14" x14ac:dyDescent="0.35">
      <c r="B29" s="142"/>
      <c r="C29" s="187" t="s">
        <v>397</v>
      </c>
      <c r="D29" s="187" t="s">
        <v>398</v>
      </c>
      <c r="E29" s="187" t="s">
        <v>399</v>
      </c>
      <c r="F29" s="187" t="s">
        <v>397</v>
      </c>
      <c r="G29" s="187" t="s">
        <v>398</v>
      </c>
      <c r="H29" s="187" t="s">
        <v>399</v>
      </c>
      <c r="L29" s="143" t="s">
        <v>400</v>
      </c>
      <c r="M29" s="202"/>
      <c r="N29" s="203"/>
    </row>
    <row r="30" spans="2:14" x14ac:dyDescent="0.35">
      <c r="B30" s="188" t="s">
        <v>401</v>
      </c>
      <c r="C30" s="142">
        <v>0</v>
      </c>
      <c r="D30" s="142">
        <v>0</v>
      </c>
      <c r="E30" s="142">
        <v>3</v>
      </c>
      <c r="F30" s="142">
        <v>7</v>
      </c>
      <c r="G30" s="142">
        <v>28</v>
      </c>
      <c r="H30" s="142">
        <f>H19-E19</f>
        <v>0</v>
      </c>
      <c r="L30" s="142" t="s">
        <v>402</v>
      </c>
      <c r="M30" s="204">
        <v>1.35E-2</v>
      </c>
    </row>
    <row r="31" spans="2:14" x14ac:dyDescent="0.35">
      <c r="B31" s="188" t="s">
        <v>284</v>
      </c>
      <c r="C31" s="142">
        <v>2</v>
      </c>
      <c r="D31" s="142">
        <v>3</v>
      </c>
      <c r="E31" s="142">
        <v>5</v>
      </c>
      <c r="F31" s="142">
        <v>3</v>
      </c>
      <c r="G31" s="142">
        <f>G20-D20</f>
        <v>0</v>
      </c>
      <c r="H31" s="142">
        <f>H20-E20</f>
        <v>0</v>
      </c>
      <c r="L31" s="142" t="s">
        <v>403</v>
      </c>
      <c r="M31" s="204">
        <v>1.5650200003050001E-2</v>
      </c>
    </row>
    <row r="32" spans="2:14" x14ac:dyDescent="0.35">
      <c r="B32" s="188" t="s">
        <v>331</v>
      </c>
      <c r="C32" s="142">
        <v>0</v>
      </c>
      <c r="D32" s="142">
        <v>0</v>
      </c>
      <c r="E32" s="142">
        <v>1</v>
      </c>
      <c r="F32" s="142">
        <v>1</v>
      </c>
      <c r="G32" s="142">
        <f>G21-D21</f>
        <v>0</v>
      </c>
      <c r="H32" s="142">
        <f>H21-E21</f>
        <v>0</v>
      </c>
      <c r="L32" s="142" t="s">
        <v>404</v>
      </c>
      <c r="M32" s="204">
        <v>2.4382501668037085E-2</v>
      </c>
    </row>
    <row r="33" spans="2:8" x14ac:dyDescent="0.35">
      <c r="B33" s="188" t="s">
        <v>339</v>
      </c>
      <c r="C33" s="142">
        <v>0</v>
      </c>
      <c r="D33" s="142">
        <v>1</v>
      </c>
      <c r="E33" s="142">
        <v>2</v>
      </c>
      <c r="F33" s="142">
        <v>2</v>
      </c>
      <c r="G33" s="142">
        <f>G22-D22</f>
        <v>0</v>
      </c>
      <c r="H33" s="142">
        <f>H22-E22</f>
        <v>0</v>
      </c>
    </row>
    <row r="34" spans="2:8" x14ac:dyDescent="0.35">
      <c r="B34" s="188" t="s">
        <v>330</v>
      </c>
      <c r="C34" s="142">
        <v>0</v>
      </c>
      <c r="D34" s="142">
        <v>0</v>
      </c>
      <c r="E34" s="142">
        <v>0</v>
      </c>
      <c r="F34" s="142">
        <v>1</v>
      </c>
      <c r="G34" s="142">
        <v>1</v>
      </c>
      <c r="H34" s="142">
        <f>H23-E23</f>
        <v>0</v>
      </c>
    </row>
    <row r="35" spans="2:8" x14ac:dyDescent="0.35">
      <c r="B35" s="188" t="s">
        <v>336</v>
      </c>
      <c r="C35" s="142">
        <v>0</v>
      </c>
      <c r="D35" s="142">
        <v>0</v>
      </c>
      <c r="E35" s="142">
        <v>0</v>
      </c>
      <c r="F35" s="142">
        <v>0</v>
      </c>
      <c r="G35" s="142">
        <v>0</v>
      </c>
      <c r="H35" s="142">
        <v>0</v>
      </c>
    </row>
    <row r="36" spans="2:8" x14ac:dyDescent="0.35">
      <c r="B36" s="188" t="s">
        <v>287</v>
      </c>
      <c r="C36" s="142">
        <v>0</v>
      </c>
      <c r="D36" s="142">
        <v>0</v>
      </c>
      <c r="E36" s="142">
        <v>0</v>
      </c>
      <c r="F36" s="142">
        <v>2</v>
      </c>
      <c r="G36" s="142">
        <v>7</v>
      </c>
      <c r="H36" s="142">
        <v>19</v>
      </c>
    </row>
    <row r="37" spans="2:8" x14ac:dyDescent="0.35">
      <c r="B37" s="189" t="s">
        <v>405</v>
      </c>
      <c r="C37" s="189">
        <f t="shared" ref="C37" si="0">SUM(C30:C36)</f>
        <v>2</v>
      </c>
      <c r="D37" s="189">
        <f t="shared" ref="D37:H37" si="1">SUM(D30:D36)</f>
        <v>4</v>
      </c>
      <c r="E37" s="189">
        <f t="shared" si="1"/>
        <v>11</v>
      </c>
      <c r="F37" s="189">
        <f t="shared" si="1"/>
        <v>16</v>
      </c>
      <c r="G37" s="189">
        <f t="shared" si="1"/>
        <v>36</v>
      </c>
      <c r="H37" s="189">
        <f t="shared" si="1"/>
        <v>19</v>
      </c>
    </row>
    <row r="38" spans="2:8" x14ac:dyDescent="0.35">
      <c r="B38" s="190" t="s">
        <v>406</v>
      </c>
      <c r="C38" s="191">
        <f t="shared" ref="C38:H38" si="2">C37*2*3</f>
        <v>12</v>
      </c>
      <c r="D38" s="191">
        <f t="shared" si="2"/>
        <v>24</v>
      </c>
      <c r="E38" s="191">
        <f t="shared" si="2"/>
        <v>66</v>
      </c>
      <c r="F38" s="191">
        <f t="shared" si="2"/>
        <v>96</v>
      </c>
      <c r="G38" s="191">
        <f t="shared" si="2"/>
        <v>216</v>
      </c>
      <c r="H38" s="191">
        <f t="shared" si="2"/>
        <v>114</v>
      </c>
    </row>
    <row r="39" spans="2:8" x14ac:dyDescent="0.35">
      <c r="C39" s="417" t="s">
        <v>407</v>
      </c>
      <c r="D39" s="417"/>
      <c r="E39" s="417"/>
      <c r="F39" s="417" t="s">
        <v>407</v>
      </c>
      <c r="G39" s="417"/>
      <c r="H39" s="417"/>
    </row>
    <row r="41" spans="2:8" x14ac:dyDescent="0.35">
      <c r="B41" s="468" t="s">
        <v>408</v>
      </c>
      <c r="C41" s="468"/>
      <c r="D41" s="468"/>
      <c r="E41" s="468"/>
      <c r="F41" s="468"/>
      <c r="G41" s="468"/>
      <c r="H41" s="468"/>
    </row>
    <row r="42" spans="2:8" x14ac:dyDescent="0.35">
      <c r="B42" s="142"/>
      <c r="C42" s="469" t="s">
        <v>396</v>
      </c>
      <c r="D42" s="469"/>
      <c r="E42" s="469"/>
      <c r="F42" s="469" t="s">
        <v>108</v>
      </c>
      <c r="G42" s="469"/>
      <c r="H42" s="469"/>
    </row>
    <row r="43" spans="2:8" x14ac:dyDescent="0.35">
      <c r="B43" s="142"/>
      <c r="C43" s="187" t="s">
        <v>397</v>
      </c>
      <c r="D43" s="187" t="s">
        <v>398</v>
      </c>
      <c r="E43" s="187" t="s">
        <v>399</v>
      </c>
      <c r="F43" s="187" t="s">
        <v>397</v>
      </c>
      <c r="G43" s="187" t="s">
        <v>398</v>
      </c>
      <c r="H43" s="187" t="s">
        <v>399</v>
      </c>
    </row>
    <row r="44" spans="2:8" x14ac:dyDescent="0.35">
      <c r="B44" s="192" t="s">
        <v>401</v>
      </c>
      <c r="C44" s="142">
        <v>0</v>
      </c>
      <c r="D44" s="193">
        <f>17571.8953543317/5</f>
        <v>3514.37907086634</v>
      </c>
      <c r="E44" s="194">
        <f>26863.0533242208/5</f>
        <v>5372.6106648441601</v>
      </c>
      <c r="F44" s="142">
        <v>0</v>
      </c>
      <c r="G44" s="193">
        <f>179678.075336503/5-D44</f>
        <v>32421.235996434265</v>
      </c>
      <c r="H44" s="194">
        <f>221403.547311173/5-E44</f>
        <v>38908.098797390441</v>
      </c>
    </row>
    <row r="45" spans="2:8" x14ac:dyDescent="0.35">
      <c r="B45" s="195" t="s">
        <v>336</v>
      </c>
      <c r="C45" s="142">
        <v>0</v>
      </c>
      <c r="D45" s="193">
        <f>89.8388184539532/5</f>
        <v>17.96776369079064</v>
      </c>
      <c r="E45" s="194">
        <f>137.002908493011/5</f>
        <v>27.400581698602203</v>
      </c>
      <c r="F45" s="142">
        <v>0</v>
      </c>
      <c r="G45" s="193">
        <f>918.629758760345/5-D45</f>
        <v>165.75818806127836</v>
      </c>
      <c r="H45" s="194">
        <f>1129.16910695894/5-E45</f>
        <v>198.43323969318578</v>
      </c>
    </row>
    <row r="46" spans="2:8" x14ac:dyDescent="0.35">
      <c r="B46" s="195" t="s">
        <v>284</v>
      </c>
      <c r="C46" s="142">
        <v>0</v>
      </c>
      <c r="D46" s="193">
        <f>3819.11234306216/5</f>
        <v>763.82246861243198</v>
      </c>
      <c r="E46" s="194">
        <f>5838.47197209594/5</f>
        <v>1167.694394419188</v>
      </c>
      <c r="F46" s="142">
        <v>0</v>
      </c>
      <c r="G46" s="193">
        <f>39051.6072090157/5-D46</f>
        <v>7046.4989731907081</v>
      </c>
      <c r="H46" s="194">
        <f>48120.3082128191/5-E46</f>
        <v>8456.367248144632</v>
      </c>
    </row>
    <row r="47" spans="2:8" x14ac:dyDescent="0.35">
      <c r="B47" s="195" t="s">
        <v>287</v>
      </c>
      <c r="C47" s="142">
        <v>0</v>
      </c>
      <c r="D47" s="193">
        <f>3123.56737647473/5</f>
        <v>624.71347529494597</v>
      </c>
      <c r="E47" s="194">
        <f>4775.15688000911/5</f>
        <v>955.03137600182197</v>
      </c>
      <c r="F47" s="142">
        <v>0</v>
      </c>
      <c r="G47" s="193">
        <f>31939.4443838704/5-D47</f>
        <v>5763.1754014791341</v>
      </c>
      <c r="H47" s="194">
        <f>39356.5340261645/5-E47</f>
        <v>6916.2754292310792</v>
      </c>
    </row>
    <row r="48" spans="2:8" x14ac:dyDescent="0.35">
      <c r="B48" s="195" t="s">
        <v>330</v>
      </c>
      <c r="C48" s="142">
        <v>0</v>
      </c>
      <c r="D48" s="193">
        <f>2120.19212684807/5</f>
        <v>424.038425369614</v>
      </c>
      <c r="E48" s="194">
        <f>3241.24592211805/5</f>
        <v>648.24918442361002</v>
      </c>
      <c r="F48" s="142">
        <v>0</v>
      </c>
      <c r="G48" s="193">
        <f>21679.6215214062/5-D48</f>
        <v>3911.8858789116257</v>
      </c>
      <c r="H48" s="194">
        <f>26714.1391636881/5-E48</f>
        <v>4694.57864831401</v>
      </c>
    </row>
    <row r="49" spans="2:8" x14ac:dyDescent="0.35">
      <c r="B49" s="195" t="s">
        <v>331</v>
      </c>
      <c r="C49" s="142">
        <v>0</v>
      </c>
      <c r="D49" s="193">
        <f>1895.32326490964/5</f>
        <v>379.06465298192802</v>
      </c>
      <c r="E49" s="194">
        <f>2897.47741522675/5</f>
        <v>579.49548304535006</v>
      </c>
      <c r="F49" s="142">
        <v>0</v>
      </c>
      <c r="G49" s="193">
        <f>19380.2677236813/5-D49</f>
        <v>3496.9888917543321</v>
      </c>
      <c r="H49" s="194">
        <f>23880.8213736/5-E49</f>
        <v>4196.6687916746505</v>
      </c>
    </row>
    <row r="50" spans="2:8" x14ac:dyDescent="0.35">
      <c r="B50" s="195" t="s">
        <v>339</v>
      </c>
      <c r="C50" s="142">
        <v>0</v>
      </c>
      <c r="D50" s="193">
        <f>1509.8337873009/5</f>
        <v>301.96675746018002</v>
      </c>
      <c r="E50" s="194">
        <f>2308.15997484164/5</f>
        <v>461.63199496832806</v>
      </c>
      <c r="F50" s="142">
        <v>0</v>
      </c>
      <c r="G50" s="193">
        <f>15438.5183561529/5-D50</f>
        <v>2785.7369137704</v>
      </c>
      <c r="H50" s="194">
        <f>19023.7051620203/5-E50</f>
        <v>3343.1090374357318</v>
      </c>
    </row>
    <row r="51" spans="2:8" x14ac:dyDescent="0.35">
      <c r="B51" s="189" t="s">
        <v>405</v>
      </c>
      <c r="C51" s="189">
        <f t="shared" ref="C51:H51" si="3">SUM(C44:C50)</f>
        <v>0</v>
      </c>
      <c r="D51" s="196">
        <f t="shared" si="3"/>
        <v>6025.9526142762297</v>
      </c>
      <c r="E51" s="196">
        <f t="shared" si="3"/>
        <v>9212.1136794010599</v>
      </c>
      <c r="F51" s="196">
        <v>0</v>
      </c>
      <c r="G51" s="196">
        <f t="shared" si="3"/>
        <v>55591.280243601745</v>
      </c>
      <c r="H51" s="196">
        <f t="shared" si="3"/>
        <v>66713.53119188374</v>
      </c>
    </row>
    <row r="52" spans="2:8" x14ac:dyDescent="0.35">
      <c r="B52" s="190" t="s">
        <v>406</v>
      </c>
      <c r="C52" s="191">
        <f>C51*2*3</f>
        <v>0</v>
      </c>
      <c r="D52" s="191">
        <f>-D51*M30</f>
        <v>-81.350360292729107</v>
      </c>
      <c r="E52" s="191">
        <f>E51*M30</f>
        <v>124.36353467191431</v>
      </c>
      <c r="F52" s="191">
        <f>F51*2*3</f>
        <v>0</v>
      </c>
      <c r="G52" s="191">
        <f>G51*M30</f>
        <v>750.48228328862353</v>
      </c>
      <c r="H52" s="191">
        <f>H51*M30</f>
        <v>900.63267109043045</v>
      </c>
    </row>
    <row r="53" spans="2:8" x14ac:dyDescent="0.35">
      <c r="C53" s="417" t="s">
        <v>407</v>
      </c>
      <c r="D53" s="417"/>
      <c r="E53" s="417"/>
      <c r="F53" s="417" t="s">
        <v>407</v>
      </c>
      <c r="G53" s="417"/>
      <c r="H53" s="417"/>
    </row>
    <row r="54" spans="2:8" x14ac:dyDescent="0.35">
      <c r="C54" s="7"/>
      <c r="D54" s="7"/>
      <c r="E54" s="7"/>
      <c r="F54" s="7"/>
      <c r="G54" s="7"/>
      <c r="H54" s="7"/>
    </row>
    <row r="55" spans="2:8" x14ac:dyDescent="0.35">
      <c r="C55" s="7"/>
      <c r="D55" s="197" t="s">
        <v>409</v>
      </c>
      <c r="E55" s="198"/>
      <c r="F55" s="7"/>
      <c r="G55" s="197" t="s">
        <v>410</v>
      </c>
      <c r="H55" s="198"/>
    </row>
    <row r="56" spans="2:8" x14ac:dyDescent="0.35">
      <c r="D56" s="199">
        <f>D51*M31</f>
        <v>94.307363622325013</v>
      </c>
      <c r="E56" s="200">
        <f>E518</f>
        <v>0</v>
      </c>
      <c r="F56" s="201"/>
      <c r="G56" s="199">
        <f>G52*M32</f>
        <v>18.298635524117142</v>
      </c>
      <c r="H56" s="200">
        <f>H51*M32</f>
        <v>1626.6427855667494</v>
      </c>
    </row>
  </sheetData>
  <mergeCells count="26">
    <mergeCell ref="B20:G20"/>
    <mergeCell ref="B18:G18"/>
    <mergeCell ref="C53:E53"/>
    <mergeCell ref="F53:H53"/>
    <mergeCell ref="C39:E39"/>
    <mergeCell ref="F39:H39"/>
    <mergeCell ref="B41:H41"/>
    <mergeCell ref="C42:E42"/>
    <mergeCell ref="F42:H42"/>
    <mergeCell ref="B27:H27"/>
    <mergeCell ref="C28:E28"/>
    <mergeCell ref="F28:H28"/>
    <mergeCell ref="B22:G22"/>
    <mergeCell ref="B21:G21"/>
    <mergeCell ref="B7:G7"/>
    <mergeCell ref="B6:G6"/>
    <mergeCell ref="B5:G5"/>
    <mergeCell ref="B4:G4"/>
    <mergeCell ref="B3:G3"/>
    <mergeCell ref="B11:G11"/>
    <mergeCell ref="B10:G10"/>
    <mergeCell ref="B9:G9"/>
    <mergeCell ref="B17:G17"/>
    <mergeCell ref="B16:G16"/>
    <mergeCell ref="B15:G15"/>
    <mergeCell ref="B14:G14"/>
  </mergeCells>
  <pageMargins left="0.7" right="0.7" top="0.75" bottom="0.75" header="0.3" footer="0.3"/>
  <pageSetup orientation="portrait" horizontalDpi="1200" verticalDpi="1200"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topLeftCell="A31" workbookViewId="0">
      <selection activeCell="A2" sqref="A2"/>
    </sheetView>
  </sheetViews>
  <sheetFormatPr defaultRowHeight="14.5" x14ac:dyDescent="0.35"/>
  <cols>
    <col min="2" max="2" width="51.54296875" bestFit="1" customWidth="1"/>
    <col min="3" max="3" width="20.26953125" customWidth="1"/>
    <col min="4" max="7" width="17.81640625" customWidth="1"/>
    <col min="8" max="8" width="19.453125" customWidth="1"/>
    <col min="9" max="9" width="18" bestFit="1" customWidth="1"/>
    <col min="10" max="10" width="14.54296875" customWidth="1"/>
    <col min="11" max="11" width="21" customWidth="1"/>
    <col min="12" max="12" width="18.1796875" customWidth="1"/>
  </cols>
  <sheetData>
    <row r="1" spans="2:12" ht="15" thickBot="1" x14ac:dyDescent="0.4"/>
    <row r="2" spans="2:12" ht="43.5" x14ac:dyDescent="0.35">
      <c r="B2" s="186" t="s">
        <v>411</v>
      </c>
      <c r="C2" s="229" t="s">
        <v>412</v>
      </c>
      <c r="D2" s="229" t="s">
        <v>413</v>
      </c>
      <c r="E2" s="230" t="s">
        <v>414</v>
      </c>
    </row>
    <row r="3" spans="2:12" x14ac:dyDescent="0.35">
      <c r="B3" s="3" t="s">
        <v>415</v>
      </c>
      <c r="C3" s="142">
        <v>4</v>
      </c>
      <c r="D3" s="143">
        <v>0</v>
      </c>
      <c r="E3" s="134">
        <v>78</v>
      </c>
    </row>
    <row r="4" spans="2:12" x14ac:dyDescent="0.35">
      <c r="B4" s="3" t="s">
        <v>416</v>
      </c>
      <c r="C4" s="142">
        <v>179</v>
      </c>
      <c r="D4" s="143">
        <v>6</v>
      </c>
      <c r="E4" s="134">
        <v>1691</v>
      </c>
    </row>
    <row r="5" spans="2:12" x14ac:dyDescent="0.35">
      <c r="B5" s="3" t="s">
        <v>94</v>
      </c>
      <c r="C5" s="142">
        <v>19</v>
      </c>
      <c r="D5" s="143">
        <v>10</v>
      </c>
      <c r="E5" s="134">
        <v>366</v>
      </c>
    </row>
    <row r="6" spans="2:12" x14ac:dyDescent="0.35">
      <c r="B6" s="169" t="s">
        <v>417</v>
      </c>
      <c r="C6" s="231">
        <f>SUM(C3:C5)</f>
        <v>202</v>
      </c>
      <c r="D6" s="231">
        <f>SUM(D3:D5)</f>
        <v>16</v>
      </c>
      <c r="E6" s="232">
        <f>SUM(E3:E5)</f>
        <v>2135</v>
      </c>
    </row>
    <row r="7" spans="2:12" x14ac:dyDescent="0.35">
      <c r="B7" s="3" t="s">
        <v>96</v>
      </c>
      <c r="C7" s="142">
        <v>19</v>
      </c>
      <c r="D7" s="233"/>
      <c r="E7" s="227"/>
    </row>
    <row r="8" spans="2:12" x14ac:dyDescent="0.35">
      <c r="B8" s="3" t="s">
        <v>99</v>
      </c>
      <c r="C8" s="142">
        <v>39</v>
      </c>
      <c r="D8" s="233"/>
      <c r="E8" s="227"/>
    </row>
    <row r="9" spans="2:12" ht="15" thickBot="1" x14ac:dyDescent="0.4">
      <c r="B9" s="6" t="s">
        <v>102</v>
      </c>
      <c r="C9" s="185">
        <v>320</v>
      </c>
      <c r="D9" s="234"/>
      <c r="E9" s="228"/>
    </row>
    <row r="11" spans="2:12" x14ac:dyDescent="0.35">
      <c r="B11" t="s">
        <v>418</v>
      </c>
    </row>
    <row r="12" spans="2:12" x14ac:dyDescent="0.35">
      <c r="B12" t="s">
        <v>419</v>
      </c>
    </row>
    <row r="14" spans="2:12" ht="15" thickBot="1" x14ac:dyDescent="0.4"/>
    <row r="15" spans="2:12" x14ac:dyDescent="0.35">
      <c r="B15" s="2" t="s">
        <v>420</v>
      </c>
      <c r="C15" s="446" t="s">
        <v>88</v>
      </c>
      <c r="D15" s="447"/>
      <c r="E15" s="470"/>
      <c r="F15" s="471" t="s">
        <v>108</v>
      </c>
      <c r="G15" s="447"/>
      <c r="H15" s="470"/>
      <c r="I15" s="471" t="s">
        <v>142</v>
      </c>
      <c r="J15" s="447"/>
      <c r="K15" s="447"/>
      <c r="L15" s="235"/>
    </row>
    <row r="16" spans="2:12" ht="44" thickBot="1" x14ac:dyDescent="0.4">
      <c r="C16" s="127" t="s">
        <v>10</v>
      </c>
      <c r="D16" s="128" t="s">
        <v>11</v>
      </c>
      <c r="E16" s="130" t="s">
        <v>12</v>
      </c>
      <c r="F16" s="127" t="s">
        <v>10</v>
      </c>
      <c r="G16" s="128" t="s">
        <v>11</v>
      </c>
      <c r="H16" s="130" t="s">
        <v>12</v>
      </c>
      <c r="I16" s="127" t="s">
        <v>10</v>
      </c>
      <c r="J16" s="128" t="s">
        <v>11</v>
      </c>
      <c r="K16" s="130" t="s">
        <v>12</v>
      </c>
    </row>
    <row r="17" spans="2:11" x14ac:dyDescent="0.35">
      <c r="B17" s="209" t="s">
        <v>91</v>
      </c>
      <c r="C17" s="8" t="s">
        <v>421</v>
      </c>
      <c r="D17" s="84" t="s">
        <v>421</v>
      </c>
      <c r="E17" s="85" t="s">
        <v>421</v>
      </c>
      <c r="F17" s="206" t="s">
        <v>422</v>
      </c>
      <c r="G17" s="107" t="s">
        <v>423</v>
      </c>
      <c r="H17" s="108" t="s">
        <v>424</v>
      </c>
      <c r="I17" s="206" t="s">
        <v>422</v>
      </c>
      <c r="J17" s="107" t="s">
        <v>423</v>
      </c>
      <c r="K17" s="108" t="s">
        <v>424</v>
      </c>
    </row>
    <row r="18" spans="2:11" x14ac:dyDescent="0.35">
      <c r="B18" s="210" t="s">
        <v>94</v>
      </c>
      <c r="C18" s="8" t="s">
        <v>421</v>
      </c>
      <c r="D18" s="84" t="s">
        <v>421</v>
      </c>
      <c r="E18" s="85" t="s">
        <v>421</v>
      </c>
      <c r="F18" s="206" t="s">
        <v>425</v>
      </c>
      <c r="G18" s="107" t="s">
        <v>426</v>
      </c>
      <c r="H18" s="108" t="s">
        <v>427</v>
      </c>
      <c r="I18" s="206" t="s">
        <v>425</v>
      </c>
      <c r="J18" s="107" t="s">
        <v>426</v>
      </c>
      <c r="K18" s="108" t="s">
        <v>427</v>
      </c>
    </row>
    <row r="19" spans="2:11" ht="16.5" x14ac:dyDescent="0.35">
      <c r="B19" s="210" t="s">
        <v>428</v>
      </c>
      <c r="C19" s="8">
        <v>0</v>
      </c>
      <c r="D19" s="107">
        <v>0</v>
      </c>
      <c r="E19" s="108">
        <v>0</v>
      </c>
      <c r="F19" s="206">
        <v>3.7</v>
      </c>
      <c r="G19" s="107">
        <v>4.7</v>
      </c>
      <c r="H19" s="108">
        <v>5.7</v>
      </c>
      <c r="I19" s="206">
        <v>3.7</v>
      </c>
      <c r="J19" s="107">
        <v>4.7</v>
      </c>
      <c r="K19" s="108">
        <v>5.7</v>
      </c>
    </row>
    <row r="20" spans="2:11" ht="16.5" x14ac:dyDescent="0.35">
      <c r="B20" s="210" t="s">
        <v>429</v>
      </c>
      <c r="C20" s="8">
        <v>0</v>
      </c>
      <c r="D20" s="107">
        <v>0</v>
      </c>
      <c r="E20" s="108">
        <v>0</v>
      </c>
      <c r="F20" s="206">
        <v>3</v>
      </c>
      <c r="G20" s="107">
        <v>3.25</v>
      </c>
      <c r="H20" s="108">
        <v>6.25</v>
      </c>
      <c r="I20" s="206">
        <v>3</v>
      </c>
      <c r="J20" s="107">
        <v>3.25</v>
      </c>
      <c r="K20" s="108">
        <v>6.25</v>
      </c>
    </row>
    <row r="21" spans="2:11" x14ac:dyDescent="0.35">
      <c r="B21" s="210" t="s">
        <v>102</v>
      </c>
      <c r="C21" s="8">
        <v>1</v>
      </c>
      <c r="D21" s="84">
        <v>2</v>
      </c>
      <c r="E21" s="85">
        <v>9</v>
      </c>
      <c r="F21" s="8">
        <v>20</v>
      </c>
      <c r="G21" s="84">
        <v>41</v>
      </c>
      <c r="H21" s="85">
        <v>107</v>
      </c>
      <c r="I21" s="8">
        <v>21</v>
      </c>
      <c r="J21" s="84">
        <v>43</v>
      </c>
      <c r="K21" s="85">
        <v>116</v>
      </c>
    </row>
    <row r="22" spans="2:11" x14ac:dyDescent="0.35">
      <c r="B22" s="210" t="s">
        <v>104</v>
      </c>
      <c r="C22" s="8" t="s">
        <v>430</v>
      </c>
      <c r="D22" s="84" t="s">
        <v>431</v>
      </c>
      <c r="E22" s="85" t="s">
        <v>432</v>
      </c>
      <c r="F22" s="8" t="s">
        <v>433</v>
      </c>
      <c r="G22" s="84" t="s">
        <v>434</v>
      </c>
      <c r="H22" s="85" t="s">
        <v>435</v>
      </c>
      <c r="I22" s="8" t="s">
        <v>436</v>
      </c>
      <c r="J22" s="84" t="s">
        <v>437</v>
      </c>
      <c r="K22" s="85" t="s">
        <v>438</v>
      </c>
    </row>
    <row r="23" spans="2:11" ht="15" thickBot="1" x14ac:dyDescent="0.4">
      <c r="B23" s="211" t="s">
        <v>106</v>
      </c>
      <c r="C23" s="141">
        <v>0</v>
      </c>
      <c r="D23" s="101" t="s">
        <v>439</v>
      </c>
      <c r="E23" s="207">
        <v>9212</v>
      </c>
      <c r="F23" s="141">
        <v>0</v>
      </c>
      <c r="G23" s="91">
        <v>55591</v>
      </c>
      <c r="H23" s="207">
        <v>66714</v>
      </c>
      <c r="I23" s="208"/>
      <c r="J23" s="91">
        <v>61617</v>
      </c>
      <c r="K23" s="207">
        <v>75926</v>
      </c>
    </row>
    <row r="25" spans="2:11" ht="16.5" x14ac:dyDescent="0.35">
      <c r="B25" t="s">
        <v>440</v>
      </c>
    </row>
    <row r="26" spans="2:11" ht="16.5" x14ac:dyDescent="0.35">
      <c r="B26" t="s">
        <v>441</v>
      </c>
    </row>
    <row r="27" spans="2:11" x14ac:dyDescent="0.35">
      <c r="B27" t="s">
        <v>442</v>
      </c>
    </row>
    <row r="29" spans="2:11" x14ac:dyDescent="0.35">
      <c r="B29" s="28"/>
    </row>
    <row r="30" spans="2:11" ht="15" thickBot="1" x14ac:dyDescent="0.4"/>
    <row r="31" spans="2:11" x14ac:dyDescent="0.35">
      <c r="B31" s="186" t="s">
        <v>443</v>
      </c>
      <c r="C31" s="226" t="s">
        <v>303</v>
      </c>
      <c r="D31" s="126" t="s">
        <v>304</v>
      </c>
    </row>
    <row r="32" spans="2:11" x14ac:dyDescent="0.35">
      <c r="B32" s="135" t="s">
        <v>268</v>
      </c>
      <c r="C32" s="142">
        <v>9</v>
      </c>
      <c r="D32" s="134">
        <v>1</v>
      </c>
    </row>
    <row r="33" spans="2:4" x14ac:dyDescent="0.35">
      <c r="B33" s="135" t="s">
        <v>297</v>
      </c>
      <c r="C33" s="142">
        <v>11</v>
      </c>
      <c r="D33" s="134">
        <v>3</v>
      </c>
    </row>
    <row r="34" spans="2:4" ht="15" thickBot="1" x14ac:dyDescent="0.4">
      <c r="B34" s="138" t="s">
        <v>298</v>
      </c>
      <c r="C34" s="185">
        <v>28</v>
      </c>
      <c r="D34" s="83">
        <v>4</v>
      </c>
    </row>
  </sheetData>
  <mergeCells count="3">
    <mergeCell ref="C15:E15"/>
    <mergeCell ref="F15:H15"/>
    <mergeCell ref="I15:K15"/>
  </mergeCells>
  <pageMargins left="0.7" right="0.7" top="0.75" bottom="0.75" header="0.3" footer="0.3"/>
  <pageSetup orientation="portrait" horizontalDpi="1200" verticalDpi="1200"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37"/>
  <sheetViews>
    <sheetView workbookViewId="0">
      <pane xSplit="4" ySplit="6" topLeftCell="J7" activePane="bottomRight" state="frozen"/>
      <selection pane="topRight" activeCell="E1" sqref="E1"/>
      <selection pane="bottomLeft" activeCell="A7" sqref="A7"/>
      <selection pane="bottomRight" activeCell="M2" sqref="M2"/>
    </sheetView>
  </sheetViews>
  <sheetFormatPr defaultColWidth="8.81640625" defaultRowHeight="13" outlineLevelCol="1" x14ac:dyDescent="0.3"/>
  <cols>
    <col min="1" max="2" width="8.81640625" style="288"/>
    <col min="3" max="3" width="9.1796875" style="288" customWidth="1" outlineLevel="1"/>
    <col min="4" max="4" width="4.453125" style="288" customWidth="1"/>
    <col min="5" max="5" width="33.26953125" style="288" customWidth="1"/>
    <col min="6" max="6" width="8.81640625" style="288"/>
    <col min="7" max="8" width="10.54296875" style="288" bestFit="1" customWidth="1"/>
    <col min="9" max="9" width="10.54296875" style="288" customWidth="1"/>
    <col min="10" max="10" width="10.54296875" style="288" bestFit="1" customWidth="1"/>
    <col min="11" max="11" width="3" style="288" customWidth="1"/>
    <col min="12" max="13" width="10.54296875" style="288" bestFit="1" customWidth="1"/>
    <col min="14" max="14" width="10.54296875" style="288" customWidth="1"/>
    <col min="15" max="15" width="10.54296875" style="288" bestFit="1" customWidth="1"/>
    <col min="16" max="16" width="2.7265625" style="288" customWidth="1"/>
    <col min="17" max="17" width="10.54296875" style="288" bestFit="1" customWidth="1"/>
    <col min="18" max="19" width="8.81640625" style="288"/>
    <col min="20" max="20" width="10.54296875" style="288" bestFit="1" customWidth="1"/>
    <col min="21" max="21" width="3" style="288" customWidth="1"/>
    <col min="22" max="22" width="10.54296875" style="288" bestFit="1" customWidth="1"/>
    <col min="23" max="24" width="8.81640625" style="288"/>
    <col min="25" max="25" width="10.54296875" style="288" bestFit="1" customWidth="1"/>
    <col min="26" max="16384" width="8.81640625" style="288"/>
  </cols>
  <sheetData>
    <row r="1" spans="1:35" ht="31" x14ac:dyDescent="0.7">
      <c r="A1" s="287" t="s">
        <v>61</v>
      </c>
    </row>
    <row r="2" spans="1:35" ht="21.5" thickBot="1" x14ac:dyDescent="0.55000000000000004">
      <c r="A2" s="289" t="s">
        <v>62</v>
      </c>
      <c r="E2" s="288" t="s">
        <v>63</v>
      </c>
    </row>
    <row r="3" spans="1:35" ht="40.5" customHeight="1" thickBot="1" x14ac:dyDescent="0.35">
      <c r="A3" s="288" t="s">
        <v>64</v>
      </c>
      <c r="E3" s="290"/>
      <c r="G3" s="372" t="s">
        <v>65</v>
      </c>
      <c r="H3" s="373"/>
      <c r="I3" s="374"/>
      <c r="J3" s="375"/>
      <c r="L3" s="376" t="s">
        <v>66</v>
      </c>
      <c r="M3" s="377"/>
      <c r="N3" s="377"/>
      <c r="O3" s="378"/>
      <c r="Q3" s="379" t="s">
        <v>67</v>
      </c>
      <c r="R3" s="380"/>
      <c r="S3" s="381"/>
      <c r="T3" s="382"/>
      <c r="V3" s="376" t="s">
        <v>68</v>
      </c>
      <c r="W3" s="377"/>
      <c r="X3" s="377"/>
      <c r="Y3" s="378"/>
      <c r="AA3" s="365" t="s">
        <v>69</v>
      </c>
      <c r="AB3" s="366"/>
      <c r="AC3" s="366"/>
      <c r="AD3" s="367"/>
      <c r="AF3" s="368" t="s">
        <v>70</v>
      </c>
      <c r="AG3" s="369"/>
      <c r="AH3" s="369"/>
      <c r="AI3" s="370"/>
    </row>
    <row r="4" spans="1:35" x14ac:dyDescent="0.3">
      <c r="E4" s="291" t="s">
        <v>71</v>
      </c>
      <c r="G4" s="292" t="s">
        <v>72</v>
      </c>
      <c r="H4" s="293"/>
      <c r="I4" s="294"/>
      <c r="J4" s="295" t="s">
        <v>73</v>
      </c>
      <c r="K4" s="296"/>
      <c r="L4" s="292" t="s">
        <v>72</v>
      </c>
      <c r="M4" s="293"/>
      <c r="N4" s="294"/>
      <c r="O4" s="295" t="s">
        <v>73</v>
      </c>
      <c r="Q4" s="297" t="s">
        <v>72</v>
      </c>
      <c r="R4" s="298"/>
      <c r="S4" s="299"/>
      <c r="T4" s="300" t="s">
        <v>73</v>
      </c>
      <c r="V4" s="297" t="s">
        <v>72</v>
      </c>
      <c r="W4" s="298"/>
      <c r="X4" s="299"/>
      <c r="Y4" s="300" t="s">
        <v>73</v>
      </c>
      <c r="AA4" s="297" t="s">
        <v>72</v>
      </c>
      <c r="AB4" s="298"/>
      <c r="AC4" s="299"/>
      <c r="AD4" s="300" t="s">
        <v>73</v>
      </c>
      <c r="AF4" s="301" t="s">
        <v>21</v>
      </c>
      <c r="AG4" s="302" t="s">
        <v>23</v>
      </c>
      <c r="AH4" s="302" t="s">
        <v>25</v>
      </c>
      <c r="AI4" s="303" t="s">
        <v>27</v>
      </c>
    </row>
    <row r="5" spans="1:35" ht="51.75" customHeight="1" thickBot="1" x14ac:dyDescent="0.35">
      <c r="A5" s="304" t="s">
        <v>74</v>
      </c>
      <c r="B5" s="304" t="s">
        <v>75</v>
      </c>
      <c r="C5" s="304" t="s">
        <v>76</v>
      </c>
      <c r="E5" s="305" t="s">
        <v>77</v>
      </c>
      <c r="G5" s="306" t="s">
        <v>78</v>
      </c>
      <c r="H5" s="307" t="s">
        <v>79</v>
      </c>
      <c r="I5" s="308" t="s">
        <v>80</v>
      </c>
      <c r="J5" s="309" t="s">
        <v>81</v>
      </c>
      <c r="K5" s="310"/>
      <c r="L5" s="306" t="s">
        <v>78</v>
      </c>
      <c r="M5" s="307" t="s">
        <v>79</v>
      </c>
      <c r="N5" s="308" t="s">
        <v>80</v>
      </c>
      <c r="O5" s="309" t="s">
        <v>81</v>
      </c>
      <c r="Q5" s="306" t="s">
        <v>78</v>
      </c>
      <c r="R5" s="307" t="s">
        <v>79</v>
      </c>
      <c r="S5" s="308" t="s">
        <v>80</v>
      </c>
      <c r="T5" s="309" t="s">
        <v>81</v>
      </c>
      <c r="V5" s="306" t="s">
        <v>78</v>
      </c>
      <c r="W5" s="307" t="s">
        <v>79</v>
      </c>
      <c r="X5" s="308" t="s">
        <v>80</v>
      </c>
      <c r="Y5" s="309" t="s">
        <v>81</v>
      </c>
      <c r="AA5" s="306" t="s">
        <v>78</v>
      </c>
      <c r="AB5" s="307" t="s">
        <v>79</v>
      </c>
      <c r="AC5" s="308" t="s">
        <v>80</v>
      </c>
      <c r="AD5" s="309" t="s">
        <v>81</v>
      </c>
      <c r="AF5" s="311" t="s">
        <v>82</v>
      </c>
      <c r="AG5" s="312" t="s">
        <v>82</v>
      </c>
      <c r="AH5" s="312" t="s">
        <v>82</v>
      </c>
      <c r="AI5" s="313" t="s">
        <v>82</v>
      </c>
    </row>
    <row r="6" spans="1:35" ht="3" customHeight="1" thickBot="1" x14ac:dyDescent="0.35">
      <c r="E6" s="314"/>
      <c r="AF6" s="315"/>
      <c r="AG6" s="315"/>
      <c r="AH6" s="315"/>
      <c r="AI6" s="315"/>
    </row>
    <row r="7" spans="1:35" ht="12.75" customHeight="1" x14ac:dyDescent="0.35">
      <c r="A7" s="304">
        <v>2022</v>
      </c>
      <c r="B7" s="371" t="s">
        <v>83</v>
      </c>
      <c r="C7" s="316">
        <f>DATE(A7, 12, 1)</f>
        <v>44896</v>
      </c>
      <c r="E7" s="317">
        <v>4608</v>
      </c>
      <c r="G7" s="318">
        <v>0</v>
      </c>
      <c r="H7" s="319">
        <v>0</v>
      </c>
      <c r="I7" s="319">
        <v>0</v>
      </c>
      <c r="J7" s="320">
        <f>$E7+G7-H7-I7</f>
        <v>4608</v>
      </c>
      <c r="K7" s="321"/>
      <c r="L7" s="318">
        <v>0</v>
      </c>
      <c r="M7" s="319">
        <v>0</v>
      </c>
      <c r="N7" s="319">
        <v>0</v>
      </c>
      <c r="O7" s="320">
        <f>$E7+L7-M7-N7</f>
        <v>4608</v>
      </c>
      <c r="P7" s="321"/>
      <c r="Q7" s="318">
        <v>0</v>
      </c>
      <c r="R7" s="319">
        <v>0</v>
      </c>
      <c r="S7" s="319">
        <v>0</v>
      </c>
      <c r="T7" s="320">
        <f>$E7+Q7-R7-S7</f>
        <v>4608</v>
      </c>
      <c r="U7" s="321"/>
      <c r="V7" s="318">
        <v>0</v>
      </c>
      <c r="W7" s="319">
        <v>0</v>
      </c>
      <c r="X7" s="319">
        <v>0</v>
      </c>
      <c r="Y7" s="320">
        <f>$E7+V7-W7-X7</f>
        <v>4608</v>
      </c>
      <c r="AA7" s="318">
        <v>0</v>
      </c>
      <c r="AB7" s="319">
        <v>0</v>
      </c>
      <c r="AC7" s="319">
        <v>0</v>
      </c>
      <c r="AD7" s="320">
        <f>$E7+AA7-AB7-AC7</f>
        <v>4608</v>
      </c>
      <c r="AF7" s="322">
        <f>J7-AD7</f>
        <v>0</v>
      </c>
      <c r="AG7" s="323">
        <f>O7-AD7</f>
        <v>0</v>
      </c>
      <c r="AH7" s="323">
        <f>T7-AD7</f>
        <v>0</v>
      </c>
      <c r="AI7" s="324">
        <f>Y7-AD7</f>
        <v>0</v>
      </c>
    </row>
    <row r="8" spans="1:35" ht="14.5" x14ac:dyDescent="0.35">
      <c r="A8" s="304">
        <f t="shared" ref="A8:A35" si="0">A7+1</f>
        <v>2023</v>
      </c>
      <c r="B8" s="371"/>
      <c r="C8" s="316">
        <f t="shared" ref="C8:C35" si="1">DATE(A8, 12, 1)</f>
        <v>45261</v>
      </c>
      <c r="E8" s="325">
        <v>4627</v>
      </c>
      <c r="G8" s="326">
        <v>0</v>
      </c>
      <c r="H8" s="321">
        <v>0</v>
      </c>
      <c r="I8" s="321">
        <v>0</v>
      </c>
      <c r="J8" s="327">
        <f t="shared" ref="J8:J35" si="2">$E8+G8-H8-I8</f>
        <v>4627</v>
      </c>
      <c r="K8" s="321"/>
      <c r="L8" s="326">
        <v>0</v>
      </c>
      <c r="M8" s="321">
        <v>0</v>
      </c>
      <c r="N8" s="321">
        <v>0</v>
      </c>
      <c r="O8" s="327">
        <f t="shared" ref="O8:O35" si="3">$E8+L8-M8-N8</f>
        <v>4627</v>
      </c>
      <c r="P8" s="321"/>
      <c r="Q8" s="326">
        <v>0</v>
      </c>
      <c r="R8" s="321">
        <v>0</v>
      </c>
      <c r="S8" s="321">
        <v>0</v>
      </c>
      <c r="T8" s="327">
        <f t="shared" ref="T8:T35" si="4">$E8+Q8-R8-S8</f>
        <v>4627</v>
      </c>
      <c r="U8" s="321"/>
      <c r="V8" s="326">
        <v>0</v>
      </c>
      <c r="W8" s="321">
        <v>0</v>
      </c>
      <c r="X8" s="321">
        <v>0</v>
      </c>
      <c r="Y8" s="327">
        <f t="shared" ref="Y8:Y35" si="5">$E8+V8-W8-X8</f>
        <v>4627</v>
      </c>
      <c r="AA8" s="326">
        <v>0</v>
      </c>
      <c r="AB8" s="321">
        <v>0</v>
      </c>
      <c r="AC8" s="321">
        <v>0</v>
      </c>
      <c r="AD8" s="327">
        <f t="shared" ref="AD8:AD35" si="6">$E8+AA8-AB8-AC8</f>
        <v>4627</v>
      </c>
      <c r="AF8" s="328">
        <f t="shared" ref="AF8:AF35" si="7">J8-AD8</f>
        <v>0</v>
      </c>
      <c r="AG8" s="329">
        <f t="shared" ref="AG8:AG35" si="8">O8-AD8</f>
        <v>0</v>
      </c>
      <c r="AH8" s="329">
        <f t="shared" ref="AH8:AH35" si="9">T8-AD8</f>
        <v>0</v>
      </c>
      <c r="AI8" s="330">
        <f t="shared" ref="AI8:AI35" si="10">Y8-AD8</f>
        <v>0</v>
      </c>
    </row>
    <row r="9" spans="1:35" ht="14.5" x14ac:dyDescent="0.35">
      <c r="A9" s="304">
        <f t="shared" si="0"/>
        <v>2024</v>
      </c>
      <c r="B9" s="371"/>
      <c r="C9" s="316">
        <f t="shared" si="1"/>
        <v>45627</v>
      </c>
      <c r="E9" s="325">
        <v>4753</v>
      </c>
      <c r="G9" s="326">
        <v>29.385966608474099</v>
      </c>
      <c r="H9" s="321">
        <v>27.68489824718818</v>
      </c>
      <c r="I9" s="321">
        <v>45.996119999999998</v>
      </c>
      <c r="J9" s="327">
        <f t="shared" si="2"/>
        <v>4708.7049483612864</v>
      </c>
      <c r="K9" s="321"/>
      <c r="L9" s="326">
        <v>23.711371311763138</v>
      </c>
      <c r="M9" s="321">
        <v>26.652579177718071</v>
      </c>
      <c r="N9" s="321">
        <v>49.326830000000001</v>
      </c>
      <c r="O9" s="327">
        <f t="shared" si="3"/>
        <v>4700.7319621340448</v>
      </c>
      <c r="P9" s="321"/>
      <c r="Q9" s="326">
        <v>7.0540809332265901</v>
      </c>
      <c r="R9" s="321">
        <v>27.50034648591479</v>
      </c>
      <c r="S9" s="321">
        <v>50.330399999999997</v>
      </c>
      <c r="T9" s="327">
        <f t="shared" si="4"/>
        <v>4682.2233344473125</v>
      </c>
      <c r="U9" s="321"/>
      <c r="V9" s="326">
        <v>8.1875403022261128</v>
      </c>
      <c r="W9" s="321">
        <v>27.50173582410757</v>
      </c>
      <c r="X9" s="321">
        <v>50.40352</v>
      </c>
      <c r="Y9" s="327">
        <f t="shared" si="5"/>
        <v>4683.2822844781185</v>
      </c>
      <c r="AA9" s="326">
        <v>0</v>
      </c>
      <c r="AB9" s="321">
        <v>26.07751393084628</v>
      </c>
      <c r="AC9" s="331">
        <v>49.7</v>
      </c>
      <c r="AD9" s="327">
        <f t="shared" si="6"/>
        <v>4677.222486069154</v>
      </c>
      <c r="AF9" s="328">
        <f t="shared" si="7"/>
        <v>31.482462292132368</v>
      </c>
      <c r="AG9" s="329">
        <f t="shared" si="8"/>
        <v>23.509476064890805</v>
      </c>
      <c r="AH9" s="329">
        <f t="shared" si="9"/>
        <v>5.00084837815848</v>
      </c>
      <c r="AI9" s="330">
        <f t="shared" si="10"/>
        <v>6.0597984089645252</v>
      </c>
    </row>
    <row r="10" spans="1:35" ht="14.5" x14ac:dyDescent="0.35">
      <c r="A10" s="304">
        <f t="shared" si="0"/>
        <v>2025</v>
      </c>
      <c r="B10" s="371"/>
      <c r="C10" s="316">
        <f t="shared" si="1"/>
        <v>45992</v>
      </c>
      <c r="E10" s="325">
        <v>4803</v>
      </c>
      <c r="G10" s="326">
        <v>70.348105584277292</v>
      </c>
      <c r="H10" s="321">
        <v>53.930578465418272</v>
      </c>
      <c r="I10" s="321">
        <v>92.768010000000004</v>
      </c>
      <c r="J10" s="327">
        <f t="shared" si="2"/>
        <v>4726.6495171188599</v>
      </c>
      <c r="K10" s="321"/>
      <c r="L10" s="326">
        <v>79.426850805284914</v>
      </c>
      <c r="M10" s="321">
        <v>51.833429835593549</v>
      </c>
      <c r="N10" s="321">
        <v>94.749629999999996</v>
      </c>
      <c r="O10" s="327">
        <f t="shared" si="3"/>
        <v>4735.8437909696904</v>
      </c>
      <c r="P10" s="321"/>
      <c r="Q10" s="326">
        <v>16.281688310111562</v>
      </c>
      <c r="R10" s="321">
        <v>53.452736503248651</v>
      </c>
      <c r="S10" s="321">
        <v>95.765820000000005</v>
      </c>
      <c r="T10" s="327">
        <f t="shared" si="4"/>
        <v>4670.0631318068627</v>
      </c>
      <c r="U10" s="321"/>
      <c r="V10" s="326">
        <v>18.999550073489281</v>
      </c>
      <c r="W10" s="321">
        <v>53.458449368569632</v>
      </c>
      <c r="X10" s="321">
        <v>96.512180000000001</v>
      </c>
      <c r="Y10" s="327">
        <f t="shared" si="5"/>
        <v>4672.02892070492</v>
      </c>
      <c r="AA10" s="326">
        <v>0</v>
      </c>
      <c r="AB10" s="321">
        <v>50.54333263836957</v>
      </c>
      <c r="AC10" s="331">
        <v>94.549989999999994</v>
      </c>
      <c r="AD10" s="327">
        <f t="shared" si="6"/>
        <v>4657.9066773616296</v>
      </c>
      <c r="AF10" s="328">
        <f t="shared" si="7"/>
        <v>68.742839757230286</v>
      </c>
      <c r="AG10" s="329">
        <f t="shared" si="8"/>
        <v>77.937113608060827</v>
      </c>
      <c r="AH10" s="329">
        <f t="shared" si="9"/>
        <v>12.156454445233067</v>
      </c>
      <c r="AI10" s="330">
        <f t="shared" si="10"/>
        <v>14.122243343290393</v>
      </c>
    </row>
    <row r="11" spans="1:35" ht="14.5" x14ac:dyDescent="0.35">
      <c r="A11" s="304">
        <f t="shared" si="0"/>
        <v>2026</v>
      </c>
      <c r="B11" s="371"/>
      <c r="C11" s="316">
        <f t="shared" si="1"/>
        <v>46357</v>
      </c>
      <c r="E11" s="325">
        <v>4878</v>
      </c>
      <c r="G11" s="326">
        <v>124.1607233252108</v>
      </c>
      <c r="H11" s="321">
        <v>92.495828808683058</v>
      </c>
      <c r="I11" s="321">
        <v>147.29640000000001</v>
      </c>
      <c r="J11" s="327">
        <f t="shared" si="2"/>
        <v>4762.3684945165278</v>
      </c>
      <c r="K11" s="321"/>
      <c r="L11" s="326">
        <v>122.71382300209194</v>
      </c>
      <c r="M11" s="321">
        <v>89.27554903896467</v>
      </c>
      <c r="N11" s="321">
        <v>146.55459999999999</v>
      </c>
      <c r="O11" s="327">
        <f t="shared" si="3"/>
        <v>4764.883673963127</v>
      </c>
      <c r="P11" s="321"/>
      <c r="Q11" s="326">
        <v>27.788198829713906</v>
      </c>
      <c r="R11" s="321">
        <v>91.547612502502005</v>
      </c>
      <c r="S11" s="321">
        <v>145.667</v>
      </c>
      <c r="T11" s="327">
        <f t="shared" si="4"/>
        <v>4668.5735863272121</v>
      </c>
      <c r="U11" s="321"/>
      <c r="V11" s="326">
        <v>31.927967014009617</v>
      </c>
      <c r="W11" s="321">
        <v>91.559986757440427</v>
      </c>
      <c r="X11" s="321">
        <v>147.83789999999999</v>
      </c>
      <c r="Y11" s="327">
        <f t="shared" si="5"/>
        <v>4670.5300802565689</v>
      </c>
      <c r="AA11" s="326">
        <v>0</v>
      </c>
      <c r="AB11" s="321">
        <v>86.920311942089739</v>
      </c>
      <c r="AC11" s="331">
        <v>143.81</v>
      </c>
      <c r="AD11" s="327">
        <f t="shared" si="6"/>
        <v>4647.2696880579097</v>
      </c>
      <c r="AF11" s="328">
        <f t="shared" si="7"/>
        <v>115.09880645861813</v>
      </c>
      <c r="AG11" s="329">
        <f t="shared" si="8"/>
        <v>117.61398590521731</v>
      </c>
      <c r="AH11" s="329">
        <f t="shared" si="9"/>
        <v>21.303898269302408</v>
      </c>
      <c r="AI11" s="330">
        <f t="shared" si="10"/>
        <v>23.260392198659247</v>
      </c>
    </row>
    <row r="12" spans="1:35" ht="14.5" x14ac:dyDescent="0.35">
      <c r="A12" s="304">
        <f t="shared" si="0"/>
        <v>2027</v>
      </c>
      <c r="B12" s="371"/>
      <c r="C12" s="316">
        <f t="shared" si="1"/>
        <v>46722</v>
      </c>
      <c r="E12" s="325">
        <v>4951</v>
      </c>
      <c r="G12" s="326">
        <v>194.31543624844696</v>
      </c>
      <c r="H12" s="321">
        <v>122.67505968852012</v>
      </c>
      <c r="I12" s="321">
        <v>193.7698</v>
      </c>
      <c r="J12" s="327">
        <f t="shared" si="2"/>
        <v>4828.8705765599261</v>
      </c>
      <c r="K12" s="321"/>
      <c r="L12" s="326">
        <v>179.11936020897429</v>
      </c>
      <c r="M12" s="321">
        <v>118.16513646507254</v>
      </c>
      <c r="N12" s="321">
        <v>185.13800000000001</v>
      </c>
      <c r="O12" s="327">
        <f t="shared" si="3"/>
        <v>4826.8162237439019</v>
      </c>
      <c r="P12" s="321"/>
      <c r="Q12" s="326">
        <v>43.201798641031964</v>
      </c>
      <c r="R12" s="321">
        <v>120.9670749069254</v>
      </c>
      <c r="S12" s="321">
        <v>180.3614</v>
      </c>
      <c r="T12" s="327">
        <f t="shared" si="4"/>
        <v>4692.8733237341066</v>
      </c>
      <c r="U12" s="321"/>
      <c r="V12" s="326">
        <v>49.624853677436903</v>
      </c>
      <c r="W12" s="321">
        <v>120.9952006400801</v>
      </c>
      <c r="X12" s="321">
        <v>185.08349999999999</v>
      </c>
      <c r="Y12" s="327">
        <f t="shared" si="5"/>
        <v>4694.5461530373568</v>
      </c>
      <c r="AA12" s="326">
        <v>0</v>
      </c>
      <c r="AB12" s="321">
        <v>114.50807367967276</v>
      </c>
      <c r="AC12" s="331">
        <v>177.8</v>
      </c>
      <c r="AD12" s="327">
        <f t="shared" si="6"/>
        <v>4658.6919263203272</v>
      </c>
      <c r="AF12" s="328">
        <f t="shared" si="7"/>
        <v>170.17865023959894</v>
      </c>
      <c r="AG12" s="329">
        <f t="shared" si="8"/>
        <v>168.12429742357472</v>
      </c>
      <c r="AH12" s="329">
        <f t="shared" si="9"/>
        <v>34.18139741377945</v>
      </c>
      <c r="AI12" s="330">
        <f t="shared" si="10"/>
        <v>35.854226717029633</v>
      </c>
    </row>
    <row r="13" spans="1:35" ht="14.5" x14ac:dyDescent="0.35">
      <c r="A13" s="304">
        <f t="shared" si="0"/>
        <v>2028</v>
      </c>
      <c r="B13" s="371"/>
      <c r="C13" s="316">
        <f t="shared" si="1"/>
        <v>47088</v>
      </c>
      <c r="E13" s="325">
        <v>5021</v>
      </c>
      <c r="G13" s="326">
        <v>283.29984235152409</v>
      </c>
      <c r="H13" s="321">
        <v>153.36029054987142</v>
      </c>
      <c r="I13" s="321">
        <v>241.04349999999999</v>
      </c>
      <c r="J13" s="327">
        <f t="shared" si="2"/>
        <v>4909.8960518016529</v>
      </c>
      <c r="K13" s="321"/>
      <c r="L13" s="326">
        <v>250.635909875544</v>
      </c>
      <c r="M13" s="321">
        <v>147.25728832406048</v>
      </c>
      <c r="N13" s="321">
        <v>227.4119</v>
      </c>
      <c r="O13" s="327">
        <f t="shared" si="3"/>
        <v>4896.9667215514828</v>
      </c>
      <c r="P13" s="321"/>
      <c r="Q13" s="326">
        <v>62.618800400392978</v>
      </c>
      <c r="R13" s="321">
        <v>150.47412396685263</v>
      </c>
      <c r="S13" s="321">
        <v>216.511</v>
      </c>
      <c r="T13" s="327">
        <f t="shared" si="4"/>
        <v>4716.6336764335401</v>
      </c>
      <c r="U13" s="321"/>
      <c r="V13" s="326">
        <v>71.932576787215382</v>
      </c>
      <c r="W13" s="321">
        <v>150.52888991748154</v>
      </c>
      <c r="X13" s="321">
        <v>224.78639999999999</v>
      </c>
      <c r="Y13" s="327">
        <f t="shared" si="5"/>
        <v>4717.617286869734</v>
      </c>
      <c r="AA13" s="326">
        <v>0</v>
      </c>
      <c r="AB13" s="321">
        <v>142.10217462895579</v>
      </c>
      <c r="AC13" s="331">
        <v>213.2</v>
      </c>
      <c r="AD13" s="327">
        <f t="shared" si="6"/>
        <v>4665.697825371044</v>
      </c>
      <c r="AF13" s="328">
        <f t="shared" si="7"/>
        <v>244.19822643060888</v>
      </c>
      <c r="AG13" s="329">
        <f t="shared" si="8"/>
        <v>231.26889618043879</v>
      </c>
      <c r="AH13" s="329">
        <f t="shared" si="9"/>
        <v>50.935851062496113</v>
      </c>
      <c r="AI13" s="330">
        <f t="shared" si="10"/>
        <v>51.919461498689998</v>
      </c>
    </row>
    <row r="14" spans="1:35" ht="14.5" x14ac:dyDescent="0.35">
      <c r="A14" s="304">
        <f t="shared" si="0"/>
        <v>2029</v>
      </c>
      <c r="B14" s="371"/>
      <c r="C14" s="316">
        <f t="shared" si="1"/>
        <v>47453</v>
      </c>
      <c r="E14" s="325">
        <v>5104</v>
      </c>
      <c r="G14" s="326">
        <v>383.65751599428563</v>
      </c>
      <c r="H14" s="321">
        <v>209.04456271027539</v>
      </c>
      <c r="I14" s="321">
        <v>264.60379999999998</v>
      </c>
      <c r="J14" s="327">
        <f t="shared" si="2"/>
        <v>5014.0091532840106</v>
      </c>
      <c r="K14" s="321"/>
      <c r="L14" s="326">
        <v>331.69605582840052</v>
      </c>
      <c r="M14" s="321">
        <v>200.93618082988826</v>
      </c>
      <c r="N14" s="321">
        <v>247.70410000000001</v>
      </c>
      <c r="O14" s="327">
        <f t="shared" si="3"/>
        <v>4987.0557749985128</v>
      </c>
      <c r="P14" s="321"/>
      <c r="Q14" s="326">
        <v>83.721209395802674</v>
      </c>
      <c r="R14" s="321">
        <v>204.48051374569934</v>
      </c>
      <c r="S14" s="321">
        <v>228.02330000000001</v>
      </c>
      <c r="T14" s="327">
        <f t="shared" si="4"/>
        <v>4755.2173956501028</v>
      </c>
      <c r="U14" s="321"/>
      <c r="V14" s="326">
        <v>94.328710858303552</v>
      </c>
      <c r="W14" s="321">
        <v>204.55011108442068</v>
      </c>
      <c r="X14" s="321">
        <v>241.39269999999999</v>
      </c>
      <c r="Y14" s="327">
        <f t="shared" si="5"/>
        <v>4752.3858997738826</v>
      </c>
      <c r="AA14" s="326">
        <v>0</v>
      </c>
      <c r="AB14" s="321">
        <v>194.01635195692285</v>
      </c>
      <c r="AC14" s="331">
        <v>224.56</v>
      </c>
      <c r="AD14" s="327">
        <f t="shared" si="6"/>
        <v>4685.4236480430764</v>
      </c>
      <c r="AF14" s="328">
        <f t="shared" si="7"/>
        <v>328.58550524093425</v>
      </c>
      <c r="AG14" s="329">
        <f t="shared" si="8"/>
        <v>301.63212695543643</v>
      </c>
      <c r="AH14" s="329">
        <f t="shared" si="9"/>
        <v>69.793747607026489</v>
      </c>
      <c r="AI14" s="330">
        <f t="shared" si="10"/>
        <v>66.962251730806202</v>
      </c>
    </row>
    <row r="15" spans="1:35" ht="14.5" x14ac:dyDescent="0.35">
      <c r="A15" s="304">
        <f t="shared" si="0"/>
        <v>2030</v>
      </c>
      <c r="B15" s="371"/>
      <c r="C15" s="316">
        <f t="shared" si="1"/>
        <v>47818</v>
      </c>
      <c r="E15" s="325">
        <v>5197</v>
      </c>
      <c r="G15" s="326">
        <v>506.71634307216459</v>
      </c>
      <c r="H15" s="321">
        <v>246.3276644285441</v>
      </c>
      <c r="I15" s="321">
        <v>291.96499999999997</v>
      </c>
      <c r="J15" s="327">
        <f t="shared" si="2"/>
        <v>5165.4236786436204</v>
      </c>
      <c r="K15" s="321"/>
      <c r="L15" s="326">
        <v>430.76833968613283</v>
      </c>
      <c r="M15" s="321">
        <v>235.3719366918308</v>
      </c>
      <c r="N15" s="321">
        <v>271.35599999999999</v>
      </c>
      <c r="O15" s="327">
        <f t="shared" si="3"/>
        <v>5121.040402994302</v>
      </c>
      <c r="P15" s="321"/>
      <c r="Q15" s="326">
        <v>110.47308888477048</v>
      </c>
      <c r="R15" s="321">
        <v>239.10211959096958</v>
      </c>
      <c r="S15" s="321">
        <v>240.14410000000001</v>
      </c>
      <c r="T15" s="327">
        <f t="shared" si="4"/>
        <v>4828.2268692938005</v>
      </c>
      <c r="U15" s="321"/>
      <c r="V15" s="326">
        <v>124.43995543023269</v>
      </c>
      <c r="W15" s="321">
        <v>239.22205379134081</v>
      </c>
      <c r="X15" s="321">
        <v>258.74</v>
      </c>
      <c r="Y15" s="327">
        <f t="shared" si="5"/>
        <v>4823.477901638892</v>
      </c>
      <c r="AA15" s="326">
        <v>0</v>
      </c>
      <c r="AB15" s="321">
        <v>225.93131712648577</v>
      </c>
      <c r="AC15" s="331">
        <v>236.61</v>
      </c>
      <c r="AD15" s="327">
        <f t="shared" si="6"/>
        <v>4734.4586828735146</v>
      </c>
      <c r="AF15" s="328">
        <f t="shared" si="7"/>
        <v>430.96499577010582</v>
      </c>
      <c r="AG15" s="329">
        <f t="shared" si="8"/>
        <v>386.58172012078739</v>
      </c>
      <c r="AH15" s="329">
        <f t="shared" si="9"/>
        <v>93.768186420285929</v>
      </c>
      <c r="AI15" s="330">
        <f t="shared" si="10"/>
        <v>89.019218765377445</v>
      </c>
    </row>
    <row r="16" spans="1:35" ht="14.5" x14ac:dyDescent="0.35">
      <c r="A16" s="304">
        <f t="shared" si="0"/>
        <v>2031</v>
      </c>
      <c r="B16" s="371"/>
      <c r="C16" s="316">
        <f t="shared" si="1"/>
        <v>48183</v>
      </c>
      <c r="E16" s="325">
        <v>5296</v>
      </c>
      <c r="G16" s="326">
        <v>645.02234214464022</v>
      </c>
      <c r="H16" s="321">
        <v>285.9872727718444</v>
      </c>
      <c r="I16" s="321">
        <v>322.44740000000002</v>
      </c>
      <c r="J16" s="327">
        <f t="shared" si="2"/>
        <v>5332.5876693727951</v>
      </c>
      <c r="K16" s="321"/>
      <c r="L16" s="326">
        <v>542.12329790801959</v>
      </c>
      <c r="M16" s="321">
        <v>271.1902255947839</v>
      </c>
      <c r="N16" s="321">
        <v>297.53969999999998</v>
      </c>
      <c r="O16" s="327">
        <f t="shared" si="3"/>
        <v>5269.393372313235</v>
      </c>
      <c r="P16" s="321"/>
      <c r="Q16" s="326">
        <v>140.54545923217972</v>
      </c>
      <c r="R16" s="321">
        <v>274.98082944137434</v>
      </c>
      <c r="S16" s="321">
        <v>251.9785</v>
      </c>
      <c r="T16" s="327">
        <f t="shared" si="4"/>
        <v>4909.586129790805</v>
      </c>
      <c r="U16" s="321"/>
      <c r="V16" s="326">
        <v>158.26695665731782</v>
      </c>
      <c r="W16" s="321">
        <v>275.16941872593742</v>
      </c>
      <c r="X16" s="321">
        <v>277.15699999999998</v>
      </c>
      <c r="Y16" s="327">
        <f t="shared" si="5"/>
        <v>4901.9405379313803</v>
      </c>
      <c r="AA16" s="326">
        <v>0</v>
      </c>
      <c r="AB16" s="321">
        <v>258.44421976925491</v>
      </c>
      <c r="AC16" s="331">
        <v>248.37</v>
      </c>
      <c r="AD16" s="327">
        <f t="shared" si="6"/>
        <v>4789.185780230745</v>
      </c>
      <c r="AF16" s="328">
        <f t="shared" si="7"/>
        <v>543.40188914205009</v>
      </c>
      <c r="AG16" s="329">
        <f t="shared" si="8"/>
        <v>480.20759208249001</v>
      </c>
      <c r="AH16" s="329">
        <f t="shared" si="9"/>
        <v>120.40034956006002</v>
      </c>
      <c r="AI16" s="330">
        <f t="shared" si="10"/>
        <v>112.75475770063531</v>
      </c>
    </row>
    <row r="17" spans="1:35" ht="14.5" x14ac:dyDescent="0.35">
      <c r="A17" s="304">
        <f t="shared" si="0"/>
        <v>2032</v>
      </c>
      <c r="B17" s="371"/>
      <c r="C17" s="316">
        <f t="shared" si="1"/>
        <v>48549</v>
      </c>
      <c r="E17" s="325">
        <v>5388</v>
      </c>
      <c r="G17" s="326">
        <v>785.15886631563058</v>
      </c>
      <c r="H17" s="321">
        <v>364.50805267393037</v>
      </c>
      <c r="I17" s="321">
        <v>355.31310000000002</v>
      </c>
      <c r="J17" s="327">
        <f t="shared" si="2"/>
        <v>5453.3377136417002</v>
      </c>
      <c r="K17" s="321"/>
      <c r="L17" s="326">
        <v>655.5126512186489</v>
      </c>
      <c r="M17" s="321">
        <v>344.79609763827841</v>
      </c>
      <c r="N17" s="321">
        <v>325.59309999999999</v>
      </c>
      <c r="O17" s="327">
        <f t="shared" si="3"/>
        <v>5373.1234535803706</v>
      </c>
      <c r="P17" s="321"/>
      <c r="Q17" s="326">
        <v>169.01946140320578</v>
      </c>
      <c r="R17" s="321">
        <v>348.43811436710121</v>
      </c>
      <c r="S17" s="321">
        <v>263.05079999999998</v>
      </c>
      <c r="T17" s="327">
        <f t="shared" si="4"/>
        <v>4945.5305470361045</v>
      </c>
      <c r="U17" s="321"/>
      <c r="V17" s="326">
        <v>187.08351578688453</v>
      </c>
      <c r="W17" s="321">
        <v>348.63110168746817</v>
      </c>
      <c r="X17" s="321">
        <v>295.86099999999999</v>
      </c>
      <c r="Y17" s="327">
        <f t="shared" si="5"/>
        <v>4930.5914140994164</v>
      </c>
      <c r="AA17" s="326">
        <v>0</v>
      </c>
      <c r="AB17" s="321">
        <v>327.36296715961458</v>
      </c>
      <c r="AC17" s="331">
        <v>259.42</v>
      </c>
      <c r="AD17" s="327">
        <f t="shared" si="6"/>
        <v>4801.2170328403854</v>
      </c>
      <c r="AF17" s="328">
        <f t="shared" si="7"/>
        <v>652.12068080131485</v>
      </c>
      <c r="AG17" s="329">
        <f t="shared" si="8"/>
        <v>571.90642073998515</v>
      </c>
      <c r="AH17" s="329">
        <f t="shared" si="9"/>
        <v>144.31351419571911</v>
      </c>
      <c r="AI17" s="330">
        <f t="shared" si="10"/>
        <v>129.374381259031</v>
      </c>
    </row>
    <row r="18" spans="1:35" ht="14.5" x14ac:dyDescent="0.35">
      <c r="A18" s="304">
        <f t="shared" si="0"/>
        <v>2033</v>
      </c>
      <c r="B18" s="371"/>
      <c r="C18" s="316">
        <f t="shared" si="1"/>
        <v>48914</v>
      </c>
      <c r="E18" s="325">
        <v>5485</v>
      </c>
      <c r="G18" s="326">
        <v>930.61400034901385</v>
      </c>
      <c r="H18" s="321">
        <v>410.2310140185424</v>
      </c>
      <c r="I18" s="321">
        <v>389.37099999999998</v>
      </c>
      <c r="J18" s="327">
        <f t="shared" si="2"/>
        <v>5616.0119863304708</v>
      </c>
      <c r="K18" s="321"/>
      <c r="L18" s="326">
        <v>773.47052680139882</v>
      </c>
      <c r="M18" s="321">
        <v>384.80845139429937</v>
      </c>
      <c r="N18" s="321">
        <v>354.43650000000002</v>
      </c>
      <c r="O18" s="327">
        <f t="shared" si="3"/>
        <v>5519.2255754070993</v>
      </c>
      <c r="P18" s="321"/>
      <c r="Q18" s="326">
        <v>203.03328340461621</v>
      </c>
      <c r="R18" s="321">
        <v>388.34232220591105</v>
      </c>
      <c r="S18" s="321">
        <v>272.07650000000001</v>
      </c>
      <c r="T18" s="327">
        <f t="shared" si="4"/>
        <v>5027.6144611987056</v>
      </c>
      <c r="U18" s="321"/>
      <c r="V18" s="326">
        <v>224.18423779443688</v>
      </c>
      <c r="W18" s="321">
        <v>388.61059814922567</v>
      </c>
      <c r="X18" s="321">
        <v>314.22089999999997</v>
      </c>
      <c r="Y18" s="327">
        <f t="shared" si="5"/>
        <v>5006.3527396452109</v>
      </c>
      <c r="AA18" s="326">
        <v>0</v>
      </c>
      <c r="AB18" s="321">
        <v>362.67983270740592</v>
      </c>
      <c r="AC18" s="331">
        <v>268.51</v>
      </c>
      <c r="AD18" s="327">
        <f t="shared" si="6"/>
        <v>4853.8101672925941</v>
      </c>
      <c r="AF18" s="328">
        <f t="shared" si="7"/>
        <v>762.2018190378767</v>
      </c>
      <c r="AG18" s="329">
        <f t="shared" si="8"/>
        <v>665.41540811450523</v>
      </c>
      <c r="AH18" s="329">
        <f t="shared" si="9"/>
        <v>173.80429390611152</v>
      </c>
      <c r="AI18" s="330">
        <f t="shared" si="10"/>
        <v>152.54257235261684</v>
      </c>
    </row>
    <row r="19" spans="1:35" ht="14.5" x14ac:dyDescent="0.35">
      <c r="A19" s="304">
        <f t="shared" si="0"/>
        <v>2034</v>
      </c>
      <c r="B19" s="371"/>
      <c r="C19" s="316">
        <f t="shared" si="1"/>
        <v>49279</v>
      </c>
      <c r="E19" s="325">
        <v>5588</v>
      </c>
      <c r="G19" s="326">
        <v>1088.330833758022</v>
      </c>
      <c r="H19" s="321">
        <v>445.93344037905479</v>
      </c>
      <c r="I19" s="321">
        <v>415.928</v>
      </c>
      <c r="J19" s="327">
        <f t="shared" si="2"/>
        <v>5814.4693933789677</v>
      </c>
      <c r="K19" s="321"/>
      <c r="L19" s="326">
        <v>901.02081425746428</v>
      </c>
      <c r="M19" s="321">
        <v>414.75314190848349</v>
      </c>
      <c r="N19" s="321">
        <v>377.46359999999999</v>
      </c>
      <c r="O19" s="327">
        <f t="shared" si="3"/>
        <v>5696.8040723489812</v>
      </c>
      <c r="P19" s="321"/>
      <c r="Q19" s="326">
        <v>238.47998269074247</v>
      </c>
      <c r="R19" s="321">
        <v>417.17912826986213</v>
      </c>
      <c r="S19" s="321">
        <v>275.54349999999999</v>
      </c>
      <c r="T19" s="327">
        <f t="shared" si="4"/>
        <v>5133.7573544208808</v>
      </c>
      <c r="U19" s="321"/>
      <c r="V19" s="326">
        <v>263.00342032593574</v>
      </c>
      <c r="W19" s="321">
        <v>417.53396963811053</v>
      </c>
      <c r="X19" s="321">
        <v>325.32560000000001</v>
      </c>
      <c r="Y19" s="327">
        <f t="shared" si="5"/>
        <v>5108.1438506878249</v>
      </c>
      <c r="AA19" s="326">
        <v>0</v>
      </c>
      <c r="AB19" s="321">
        <v>387.90143396457097</v>
      </c>
      <c r="AC19" s="331">
        <v>272.14</v>
      </c>
      <c r="AD19" s="327">
        <f t="shared" si="6"/>
        <v>4927.9585660354287</v>
      </c>
      <c r="AF19" s="328">
        <f t="shared" si="7"/>
        <v>886.51082734353895</v>
      </c>
      <c r="AG19" s="329">
        <f t="shared" si="8"/>
        <v>768.84550631355251</v>
      </c>
      <c r="AH19" s="329">
        <f t="shared" si="9"/>
        <v>205.7987883854521</v>
      </c>
      <c r="AI19" s="330">
        <f t="shared" si="10"/>
        <v>180.18528465239615</v>
      </c>
    </row>
    <row r="20" spans="1:35" ht="14.5" x14ac:dyDescent="0.35">
      <c r="A20" s="304">
        <f t="shared" si="0"/>
        <v>2035</v>
      </c>
      <c r="B20" s="371"/>
      <c r="C20" s="316">
        <f t="shared" si="1"/>
        <v>49644</v>
      </c>
      <c r="E20" s="325">
        <v>5693</v>
      </c>
      <c r="G20" s="326">
        <v>1246.2402826632324</v>
      </c>
      <c r="H20" s="321">
        <v>483.41801174689544</v>
      </c>
      <c r="I20" s="321">
        <v>443.77109999999999</v>
      </c>
      <c r="J20" s="327">
        <f t="shared" si="2"/>
        <v>6012.0511709163366</v>
      </c>
      <c r="K20" s="321"/>
      <c r="L20" s="326">
        <v>1028.9398695858181</v>
      </c>
      <c r="M20" s="321">
        <v>446.02714080163037</v>
      </c>
      <c r="N20" s="321">
        <v>401.28960000000001</v>
      </c>
      <c r="O20" s="327">
        <f t="shared" si="3"/>
        <v>5874.6231287841874</v>
      </c>
      <c r="P20" s="321"/>
      <c r="Q20" s="326">
        <v>274.77238245995136</v>
      </c>
      <c r="R20" s="321">
        <v>447.47996068749211</v>
      </c>
      <c r="S20" s="321">
        <v>279.34179999999998</v>
      </c>
      <c r="T20" s="327">
        <f t="shared" si="4"/>
        <v>5240.9506217724593</v>
      </c>
      <c r="U20" s="321"/>
      <c r="V20" s="326">
        <v>302.640411664608</v>
      </c>
      <c r="W20" s="321">
        <v>447.92136108913411</v>
      </c>
      <c r="X20" s="321">
        <v>337.7106</v>
      </c>
      <c r="Y20" s="327">
        <f t="shared" si="5"/>
        <v>5210.0084505754739</v>
      </c>
      <c r="AA20" s="326">
        <v>0</v>
      </c>
      <c r="AB20" s="321">
        <v>414.47919594770593</v>
      </c>
      <c r="AC20" s="331">
        <v>276.33999999999997</v>
      </c>
      <c r="AD20" s="327">
        <f t="shared" si="6"/>
        <v>5002.1808040522938</v>
      </c>
      <c r="AF20" s="328">
        <f t="shared" si="7"/>
        <v>1009.8703668640428</v>
      </c>
      <c r="AG20" s="329">
        <f t="shared" si="8"/>
        <v>872.44232473189368</v>
      </c>
      <c r="AH20" s="329">
        <f t="shared" si="9"/>
        <v>238.76981772016552</v>
      </c>
      <c r="AI20" s="330">
        <f t="shared" si="10"/>
        <v>207.82764652318019</v>
      </c>
    </row>
    <row r="21" spans="1:35" ht="14.5" x14ac:dyDescent="0.35">
      <c r="A21" s="304">
        <f t="shared" si="0"/>
        <v>2036</v>
      </c>
      <c r="B21" s="371"/>
      <c r="C21" s="316">
        <f t="shared" si="1"/>
        <v>50010</v>
      </c>
      <c r="E21" s="325">
        <v>5795</v>
      </c>
      <c r="G21" s="326">
        <v>1409.1037682703272</v>
      </c>
      <c r="H21" s="321">
        <v>521.58434960679881</v>
      </c>
      <c r="I21" s="321">
        <v>471.3904</v>
      </c>
      <c r="J21" s="327">
        <f t="shared" si="2"/>
        <v>6211.1290186635279</v>
      </c>
      <c r="K21" s="321"/>
      <c r="L21" s="326">
        <v>1160.5322131742239</v>
      </c>
      <c r="M21" s="321">
        <v>477.05253840648675</v>
      </c>
      <c r="N21" s="321">
        <v>424.32380000000001</v>
      </c>
      <c r="O21" s="327">
        <f t="shared" si="3"/>
        <v>6054.1558747677373</v>
      </c>
      <c r="P21" s="321"/>
      <c r="Q21" s="326">
        <v>310.79036016856173</v>
      </c>
      <c r="R21" s="321">
        <v>477.42306495322936</v>
      </c>
      <c r="S21" s="321">
        <v>282.53429999999997</v>
      </c>
      <c r="T21" s="327">
        <f t="shared" si="4"/>
        <v>5345.8329952153326</v>
      </c>
      <c r="U21" s="321"/>
      <c r="V21" s="326">
        <v>342.11329464284722</v>
      </c>
      <c r="W21" s="321">
        <v>477.95910800842501</v>
      </c>
      <c r="X21" s="321">
        <v>349.39960000000002</v>
      </c>
      <c r="Y21" s="327">
        <f t="shared" si="5"/>
        <v>5309.7545866344226</v>
      </c>
      <c r="AA21" s="326">
        <v>0</v>
      </c>
      <c r="AB21" s="321">
        <v>439.8788200477303</v>
      </c>
      <c r="AC21" s="331">
        <v>279.97000000000003</v>
      </c>
      <c r="AD21" s="327">
        <f t="shared" si="6"/>
        <v>5075.1511799522696</v>
      </c>
      <c r="AF21" s="328">
        <f t="shared" si="7"/>
        <v>1135.9778387112583</v>
      </c>
      <c r="AG21" s="329">
        <f t="shared" si="8"/>
        <v>979.0046948154677</v>
      </c>
      <c r="AH21" s="329">
        <f t="shared" si="9"/>
        <v>270.68181526306307</v>
      </c>
      <c r="AI21" s="330">
        <f t="shared" si="10"/>
        <v>234.60340668215304</v>
      </c>
    </row>
    <row r="22" spans="1:35" ht="14.5" x14ac:dyDescent="0.35">
      <c r="A22" s="304">
        <f t="shared" si="0"/>
        <v>2037</v>
      </c>
      <c r="B22" s="371"/>
      <c r="C22" s="316">
        <f t="shared" si="1"/>
        <v>50375</v>
      </c>
      <c r="E22" s="325">
        <v>5902</v>
      </c>
      <c r="G22" s="326">
        <v>1557.6672066585636</v>
      </c>
      <c r="H22" s="321">
        <v>564.706004219325</v>
      </c>
      <c r="I22" s="321">
        <v>498.44049999999999</v>
      </c>
      <c r="J22" s="327">
        <f t="shared" si="2"/>
        <v>6396.5207024392384</v>
      </c>
      <c r="K22" s="321"/>
      <c r="L22" s="326">
        <v>1281.1946934275002</v>
      </c>
      <c r="M22" s="321">
        <v>512.39098741625594</v>
      </c>
      <c r="N22" s="321">
        <v>446.82380000000001</v>
      </c>
      <c r="O22" s="327">
        <f t="shared" si="3"/>
        <v>6223.9799060112437</v>
      </c>
      <c r="P22" s="321"/>
      <c r="Q22" s="326">
        <v>346.06804614193322</v>
      </c>
      <c r="R22" s="321">
        <v>511.6207621206529</v>
      </c>
      <c r="S22" s="321">
        <v>284.6825</v>
      </c>
      <c r="T22" s="327">
        <f t="shared" si="4"/>
        <v>5451.7647840212803</v>
      </c>
      <c r="U22" s="321"/>
      <c r="V22" s="326">
        <v>380.47824092469733</v>
      </c>
      <c r="W22" s="321">
        <v>512.25232652007389</v>
      </c>
      <c r="X22" s="321">
        <v>360.05020000000002</v>
      </c>
      <c r="Y22" s="327">
        <f t="shared" si="5"/>
        <v>5410.1757144046242</v>
      </c>
      <c r="AA22" s="326">
        <v>0</v>
      </c>
      <c r="AB22" s="321">
        <v>467.78077766228</v>
      </c>
      <c r="AC22" s="331">
        <v>282.69</v>
      </c>
      <c r="AD22" s="327">
        <f t="shared" si="6"/>
        <v>5151.5292223377201</v>
      </c>
      <c r="AF22" s="328">
        <f t="shared" si="7"/>
        <v>1244.9914801015184</v>
      </c>
      <c r="AG22" s="329">
        <f t="shared" si="8"/>
        <v>1072.4506836735236</v>
      </c>
      <c r="AH22" s="329">
        <f t="shared" si="9"/>
        <v>300.23556168356026</v>
      </c>
      <c r="AI22" s="330">
        <f t="shared" si="10"/>
        <v>258.6464920669041</v>
      </c>
    </row>
    <row r="23" spans="1:35" ht="14.5" x14ac:dyDescent="0.35">
      <c r="A23" s="304">
        <f t="shared" si="0"/>
        <v>2038</v>
      </c>
      <c r="B23" s="371"/>
      <c r="C23" s="316">
        <f t="shared" si="1"/>
        <v>50740</v>
      </c>
      <c r="E23" s="325">
        <v>5995</v>
      </c>
      <c r="G23" s="326">
        <v>1705.1878226836293</v>
      </c>
      <c r="H23" s="321">
        <v>608.16997408703628</v>
      </c>
      <c r="I23" s="321">
        <v>536.16589999999997</v>
      </c>
      <c r="J23" s="327">
        <f t="shared" si="2"/>
        <v>6555.8519485965926</v>
      </c>
      <c r="K23" s="321"/>
      <c r="L23" s="326">
        <v>1399.8191094895274</v>
      </c>
      <c r="M23" s="321">
        <v>547.53875688373842</v>
      </c>
      <c r="N23" s="321">
        <v>475.45960000000002</v>
      </c>
      <c r="O23" s="327">
        <f t="shared" si="3"/>
        <v>6371.8207526057886</v>
      </c>
      <c r="P23" s="321"/>
      <c r="Q23" s="326">
        <v>376.21800490566</v>
      </c>
      <c r="R23" s="321">
        <v>545.58585806644101</v>
      </c>
      <c r="S23" s="321">
        <v>288.27210000000002</v>
      </c>
      <c r="T23" s="327">
        <f t="shared" si="4"/>
        <v>5537.3600468392187</v>
      </c>
      <c r="U23" s="321"/>
      <c r="V23" s="326">
        <v>413.79456311741893</v>
      </c>
      <c r="W23" s="321">
        <v>546.31444282871553</v>
      </c>
      <c r="X23" s="321">
        <v>376.0838</v>
      </c>
      <c r="Y23" s="327">
        <f t="shared" si="5"/>
        <v>5486.3963202887026</v>
      </c>
      <c r="AA23" s="326">
        <v>0</v>
      </c>
      <c r="AB23" s="321">
        <v>496.09591852639846</v>
      </c>
      <c r="AC23" s="331">
        <v>288.26</v>
      </c>
      <c r="AD23" s="327">
        <f t="shared" si="6"/>
        <v>5210.6440814736015</v>
      </c>
      <c r="AF23" s="328">
        <f t="shared" si="7"/>
        <v>1345.207867122991</v>
      </c>
      <c r="AG23" s="329">
        <f t="shared" si="8"/>
        <v>1161.176671132187</v>
      </c>
      <c r="AH23" s="329">
        <f t="shared" si="9"/>
        <v>326.71596536561719</v>
      </c>
      <c r="AI23" s="330">
        <f t="shared" si="10"/>
        <v>275.75223881510101</v>
      </c>
    </row>
    <row r="24" spans="1:35" ht="14.5" x14ac:dyDescent="0.35">
      <c r="A24" s="304">
        <f t="shared" si="0"/>
        <v>2039</v>
      </c>
      <c r="B24" s="371"/>
      <c r="C24" s="316">
        <f t="shared" si="1"/>
        <v>51105</v>
      </c>
      <c r="E24" s="325">
        <v>6096</v>
      </c>
      <c r="G24" s="326">
        <v>1855.4516080136802</v>
      </c>
      <c r="H24" s="321">
        <v>651.89421320379506</v>
      </c>
      <c r="I24" s="321">
        <v>554.87810000000002</v>
      </c>
      <c r="J24" s="327">
        <f t="shared" si="2"/>
        <v>6744.6792948098846</v>
      </c>
      <c r="K24" s="321"/>
      <c r="L24" s="326">
        <v>1520.1711232050998</v>
      </c>
      <c r="M24" s="321">
        <v>583.03101247723885</v>
      </c>
      <c r="N24" s="321">
        <v>497.39010000000002</v>
      </c>
      <c r="O24" s="327">
        <f t="shared" si="3"/>
        <v>6535.750010727862</v>
      </c>
      <c r="P24" s="321"/>
      <c r="Q24" s="326">
        <v>404.96076935897025</v>
      </c>
      <c r="R24" s="321">
        <v>580.02068731100394</v>
      </c>
      <c r="S24" s="321">
        <v>288.46390000000002</v>
      </c>
      <c r="T24" s="327">
        <f t="shared" si="4"/>
        <v>5632.4761820479671</v>
      </c>
      <c r="U24" s="321"/>
      <c r="V24" s="326">
        <v>445.76677950311176</v>
      </c>
      <c r="W24" s="321">
        <v>580.8431312296575</v>
      </c>
      <c r="X24" s="321">
        <v>380.20370000000003</v>
      </c>
      <c r="Y24" s="327">
        <f t="shared" si="5"/>
        <v>5580.7199482734541</v>
      </c>
      <c r="AA24" s="326">
        <v>0</v>
      </c>
      <c r="AB24" s="321">
        <v>525.24719539382158</v>
      </c>
      <c r="AC24" s="331">
        <v>288.47000000000003</v>
      </c>
      <c r="AD24" s="327">
        <f t="shared" si="6"/>
        <v>5282.2828046061777</v>
      </c>
      <c r="AF24" s="328">
        <f t="shared" si="7"/>
        <v>1462.3964902037069</v>
      </c>
      <c r="AG24" s="329">
        <f t="shared" si="8"/>
        <v>1253.4672061216843</v>
      </c>
      <c r="AH24" s="329">
        <f t="shared" si="9"/>
        <v>350.19337744178938</v>
      </c>
      <c r="AI24" s="330">
        <f t="shared" si="10"/>
        <v>298.43714366727636</v>
      </c>
    </row>
    <row r="25" spans="1:35" ht="14.5" x14ac:dyDescent="0.35">
      <c r="A25" s="304">
        <f t="shared" si="0"/>
        <v>2040</v>
      </c>
      <c r="B25" s="371"/>
      <c r="C25" s="316">
        <f t="shared" si="1"/>
        <v>51471</v>
      </c>
      <c r="E25" s="325">
        <v>6198</v>
      </c>
      <c r="G25" s="326">
        <v>2001.1460993678381</v>
      </c>
      <c r="H25" s="321">
        <v>691.59291885643916</v>
      </c>
      <c r="I25" s="321">
        <v>572.58590000000004</v>
      </c>
      <c r="J25" s="327">
        <f t="shared" si="2"/>
        <v>6934.9672805113987</v>
      </c>
      <c r="K25" s="321"/>
      <c r="L25" s="326">
        <v>1636.412619190794</v>
      </c>
      <c r="M25" s="321">
        <v>616.25227146462157</v>
      </c>
      <c r="N25" s="321">
        <v>511.47590000000002</v>
      </c>
      <c r="O25" s="327">
        <f t="shared" si="3"/>
        <v>6706.684447726172</v>
      </c>
      <c r="P25" s="321"/>
      <c r="Q25" s="326">
        <v>431.45339310193759</v>
      </c>
      <c r="R25" s="321">
        <v>612.54486719582746</v>
      </c>
      <c r="S25" s="321">
        <v>288.68790000000001</v>
      </c>
      <c r="T25" s="327">
        <f t="shared" si="4"/>
        <v>5728.2206259061104</v>
      </c>
      <c r="U25" s="321"/>
      <c r="V25" s="326">
        <v>475.43079754754382</v>
      </c>
      <c r="W25" s="321">
        <v>613.44156462310661</v>
      </c>
      <c r="X25" s="321">
        <v>383.5068</v>
      </c>
      <c r="Y25" s="327">
        <f t="shared" si="5"/>
        <v>5676.4824329244375</v>
      </c>
      <c r="AA25" s="326">
        <v>0</v>
      </c>
      <c r="AB25" s="321">
        <v>553.67047492766972</v>
      </c>
      <c r="AC25" s="331">
        <v>288.68</v>
      </c>
      <c r="AD25" s="327">
        <f t="shared" si="6"/>
        <v>5355.6495250723301</v>
      </c>
      <c r="AF25" s="328">
        <f t="shared" si="7"/>
        <v>1579.3177554390686</v>
      </c>
      <c r="AG25" s="329">
        <f t="shared" si="8"/>
        <v>1351.0349226538419</v>
      </c>
      <c r="AH25" s="329">
        <f t="shared" si="9"/>
        <v>372.57110083378029</v>
      </c>
      <c r="AI25" s="330">
        <f t="shared" si="10"/>
        <v>320.83290785210738</v>
      </c>
    </row>
    <row r="26" spans="1:35" ht="14.5" x14ac:dyDescent="0.35">
      <c r="A26" s="304">
        <f t="shared" si="0"/>
        <v>2041</v>
      </c>
      <c r="B26" s="371"/>
      <c r="C26" s="316">
        <f t="shared" si="1"/>
        <v>51836</v>
      </c>
      <c r="E26" s="325">
        <v>6304</v>
      </c>
      <c r="G26" s="326">
        <v>2135.1050331095407</v>
      </c>
      <c r="H26" s="321">
        <v>728.59293152508451</v>
      </c>
      <c r="I26" s="321">
        <v>588.9117</v>
      </c>
      <c r="J26" s="327">
        <f t="shared" si="2"/>
        <v>7121.6004015844574</v>
      </c>
      <c r="K26" s="321"/>
      <c r="L26" s="326">
        <v>1742.8208509897352</v>
      </c>
      <c r="M26" s="321">
        <v>646.2213293629793</v>
      </c>
      <c r="N26" s="321">
        <v>524.35090000000002</v>
      </c>
      <c r="O26" s="327">
        <f t="shared" si="3"/>
        <v>6876.2486216267553</v>
      </c>
      <c r="P26" s="321"/>
      <c r="Q26" s="326">
        <v>454.47725304923648</v>
      </c>
      <c r="R26" s="321">
        <v>641.55540885090318</v>
      </c>
      <c r="S26" s="321">
        <v>288.25900000000001</v>
      </c>
      <c r="T26" s="327">
        <f t="shared" si="4"/>
        <v>5828.662844198333</v>
      </c>
      <c r="U26" s="321"/>
      <c r="V26" s="326">
        <v>501.4851485283549</v>
      </c>
      <c r="W26" s="321">
        <v>642.53285603641939</v>
      </c>
      <c r="X26" s="321">
        <v>385.67259999999999</v>
      </c>
      <c r="Y26" s="327">
        <f t="shared" si="5"/>
        <v>5777.2796924919357</v>
      </c>
      <c r="AA26" s="326">
        <v>0</v>
      </c>
      <c r="AB26" s="321">
        <v>577.75850536123278</v>
      </c>
      <c r="AC26" s="331">
        <v>288.25</v>
      </c>
      <c r="AD26" s="327">
        <f t="shared" si="6"/>
        <v>5437.9914946387671</v>
      </c>
      <c r="AF26" s="328">
        <f t="shared" si="7"/>
        <v>1683.6089069456903</v>
      </c>
      <c r="AG26" s="329">
        <f t="shared" si="8"/>
        <v>1438.2571269879882</v>
      </c>
      <c r="AH26" s="329">
        <f t="shared" si="9"/>
        <v>390.6713495595659</v>
      </c>
      <c r="AI26" s="330">
        <f t="shared" si="10"/>
        <v>339.28819785316864</v>
      </c>
    </row>
    <row r="27" spans="1:35" ht="14.5" x14ac:dyDescent="0.35">
      <c r="A27" s="304">
        <f t="shared" si="0"/>
        <v>2042</v>
      </c>
      <c r="B27" s="371"/>
      <c r="C27" s="316">
        <f t="shared" si="1"/>
        <v>52201</v>
      </c>
      <c r="E27" s="325">
        <v>6407</v>
      </c>
      <c r="G27" s="326">
        <v>2237.3921784508857</v>
      </c>
      <c r="H27" s="321">
        <v>771.45118904627077</v>
      </c>
      <c r="I27" s="321">
        <v>604.10990000000004</v>
      </c>
      <c r="J27" s="327">
        <f t="shared" si="2"/>
        <v>7268.8310894046144</v>
      </c>
      <c r="K27" s="321"/>
      <c r="L27" s="326">
        <v>1824.4242141447564</v>
      </c>
      <c r="M27" s="321">
        <v>681.80884882385897</v>
      </c>
      <c r="N27" s="321">
        <v>536.37009999999998</v>
      </c>
      <c r="O27" s="327">
        <f t="shared" si="3"/>
        <v>7013.2452653208966</v>
      </c>
      <c r="P27" s="321"/>
      <c r="Q27" s="326">
        <v>473.60147550703113</v>
      </c>
      <c r="R27" s="321">
        <v>676.08755716196652</v>
      </c>
      <c r="S27" s="321">
        <v>287.70460000000003</v>
      </c>
      <c r="T27" s="327">
        <f t="shared" si="4"/>
        <v>5916.8093183450646</v>
      </c>
      <c r="U27" s="321"/>
      <c r="V27" s="326">
        <v>522.93988043981085</v>
      </c>
      <c r="W27" s="321">
        <v>677.13009955008602</v>
      </c>
      <c r="X27" s="321">
        <v>386.90249999999997</v>
      </c>
      <c r="Y27" s="327">
        <f t="shared" si="5"/>
        <v>5865.9072808897245</v>
      </c>
      <c r="AA27" s="326">
        <v>0</v>
      </c>
      <c r="AB27" s="321">
        <v>606.4124214872877</v>
      </c>
      <c r="AC27" s="331">
        <v>287.70999999999998</v>
      </c>
      <c r="AD27" s="327">
        <f t="shared" si="6"/>
        <v>5512.8775785127118</v>
      </c>
      <c r="AF27" s="328">
        <f t="shared" si="7"/>
        <v>1755.9535108919026</v>
      </c>
      <c r="AG27" s="329">
        <f t="shared" si="8"/>
        <v>1500.3676868081848</v>
      </c>
      <c r="AH27" s="329">
        <f t="shared" si="9"/>
        <v>403.93173983235283</v>
      </c>
      <c r="AI27" s="330">
        <f t="shared" si="10"/>
        <v>353.02970237701265</v>
      </c>
    </row>
    <row r="28" spans="1:35" ht="14.5" x14ac:dyDescent="0.35">
      <c r="A28" s="304">
        <f t="shared" si="0"/>
        <v>2043</v>
      </c>
      <c r="B28" s="371"/>
      <c r="C28" s="316">
        <f t="shared" si="1"/>
        <v>52566</v>
      </c>
      <c r="E28" s="325">
        <v>6509</v>
      </c>
      <c r="G28" s="326">
        <v>2393.6820505934966</v>
      </c>
      <c r="H28" s="321">
        <v>826.02929863138331</v>
      </c>
      <c r="I28" s="321">
        <v>618.72209999999995</v>
      </c>
      <c r="J28" s="327">
        <f t="shared" si="2"/>
        <v>7457.9306519621123</v>
      </c>
      <c r="K28" s="321"/>
      <c r="L28" s="326">
        <v>1946.3650250342339</v>
      </c>
      <c r="M28" s="321">
        <v>723.04310033770639</v>
      </c>
      <c r="N28" s="321">
        <v>547.94410000000005</v>
      </c>
      <c r="O28" s="327">
        <f t="shared" si="3"/>
        <v>7184.3778246965285</v>
      </c>
      <c r="P28" s="321"/>
      <c r="Q28" s="326">
        <v>491.36262401823274</v>
      </c>
      <c r="R28" s="321">
        <v>715.93840400944077</v>
      </c>
      <c r="S28" s="321">
        <v>287.09859999999998</v>
      </c>
      <c r="T28" s="327">
        <f t="shared" si="4"/>
        <v>5997.3256200087917</v>
      </c>
      <c r="U28" s="321"/>
      <c r="V28" s="326">
        <v>544.57831019077696</v>
      </c>
      <c r="W28" s="321">
        <v>717.10648176239806</v>
      </c>
      <c r="X28" s="321">
        <v>387.66680000000002</v>
      </c>
      <c r="Y28" s="327">
        <f t="shared" si="5"/>
        <v>5948.805028428379</v>
      </c>
      <c r="AA28" s="326">
        <v>0</v>
      </c>
      <c r="AB28" s="321">
        <v>639.21718571654378</v>
      </c>
      <c r="AC28" s="331">
        <v>287.10000000000002</v>
      </c>
      <c r="AD28" s="327">
        <f t="shared" si="6"/>
        <v>5582.6828142834556</v>
      </c>
      <c r="AF28" s="328">
        <f t="shared" si="7"/>
        <v>1875.2478376786567</v>
      </c>
      <c r="AG28" s="329">
        <f t="shared" si="8"/>
        <v>1601.6950104130729</v>
      </c>
      <c r="AH28" s="329">
        <f t="shared" si="9"/>
        <v>414.64280572533607</v>
      </c>
      <c r="AI28" s="330">
        <f t="shared" si="10"/>
        <v>366.12221414492342</v>
      </c>
    </row>
    <row r="29" spans="1:35" ht="14.5" x14ac:dyDescent="0.35">
      <c r="A29" s="304">
        <f t="shared" si="0"/>
        <v>2044</v>
      </c>
      <c r="B29" s="371"/>
      <c r="C29" s="316">
        <f t="shared" si="1"/>
        <v>52932</v>
      </c>
      <c r="E29" s="325">
        <v>6610</v>
      </c>
      <c r="G29" s="326">
        <v>2514.4158037086054</v>
      </c>
      <c r="H29" s="321">
        <v>874.86701009673197</v>
      </c>
      <c r="I29" s="321">
        <v>632.5222</v>
      </c>
      <c r="J29" s="327">
        <f t="shared" si="2"/>
        <v>7617.0265936118731</v>
      </c>
      <c r="K29" s="321"/>
      <c r="L29" s="326">
        <v>2040.7353826492517</v>
      </c>
      <c r="M29" s="321">
        <v>760.28722474490894</v>
      </c>
      <c r="N29" s="321">
        <v>558.87049999999999</v>
      </c>
      <c r="O29" s="327">
        <f t="shared" si="3"/>
        <v>7331.5776579043422</v>
      </c>
      <c r="P29" s="321"/>
      <c r="Q29" s="326">
        <v>507.13658212934439</v>
      </c>
      <c r="R29" s="321">
        <v>751.870312685101</v>
      </c>
      <c r="S29" s="321">
        <v>286.35059999999999</v>
      </c>
      <c r="T29" s="327">
        <f t="shared" si="4"/>
        <v>6078.9156694442445</v>
      </c>
      <c r="U29" s="321"/>
      <c r="V29" s="326">
        <v>563.45936244955703</v>
      </c>
      <c r="W29" s="321">
        <v>753.13931101207424</v>
      </c>
      <c r="X29" s="321">
        <v>387.83980000000003</v>
      </c>
      <c r="Y29" s="327">
        <f t="shared" si="5"/>
        <v>6032.4802514374833</v>
      </c>
      <c r="AA29" s="326">
        <v>0</v>
      </c>
      <c r="AB29" s="321">
        <v>669.24867670693402</v>
      </c>
      <c r="AC29" s="331">
        <v>286.35000000000002</v>
      </c>
      <c r="AD29" s="327">
        <f t="shared" si="6"/>
        <v>5654.4013232930656</v>
      </c>
      <c r="AF29" s="328">
        <f t="shared" si="7"/>
        <v>1962.6252703188075</v>
      </c>
      <c r="AG29" s="329">
        <f t="shared" si="8"/>
        <v>1677.1763346112766</v>
      </c>
      <c r="AH29" s="329">
        <f t="shared" si="9"/>
        <v>424.51434615117887</v>
      </c>
      <c r="AI29" s="330">
        <f t="shared" si="10"/>
        <v>378.07892814441766</v>
      </c>
    </row>
    <row r="30" spans="1:35" ht="14.5" x14ac:dyDescent="0.35">
      <c r="A30" s="304">
        <f t="shared" si="0"/>
        <v>2045</v>
      </c>
      <c r="B30" s="371"/>
      <c r="C30" s="316">
        <f t="shared" si="1"/>
        <v>53297</v>
      </c>
      <c r="E30" s="325">
        <v>6717</v>
      </c>
      <c r="G30" s="326">
        <v>2602.8932754848288</v>
      </c>
      <c r="H30" s="321">
        <v>913.06920842285672</v>
      </c>
      <c r="I30" s="321">
        <v>643.20749999999998</v>
      </c>
      <c r="J30" s="327">
        <f t="shared" si="2"/>
        <v>7763.6165670619703</v>
      </c>
      <c r="K30" s="321"/>
      <c r="L30" s="326">
        <v>2108.3912949375358</v>
      </c>
      <c r="M30" s="321">
        <v>790.28623856112108</v>
      </c>
      <c r="N30" s="321">
        <v>567.30799999999999</v>
      </c>
      <c r="O30" s="327">
        <f t="shared" si="3"/>
        <v>7467.7970563764147</v>
      </c>
      <c r="P30" s="321"/>
      <c r="Q30" s="326">
        <v>520.78911805350526</v>
      </c>
      <c r="R30" s="321">
        <v>781.20007126618111</v>
      </c>
      <c r="S30" s="321">
        <v>284.93349999999998</v>
      </c>
      <c r="T30" s="327">
        <f t="shared" si="4"/>
        <v>6171.6555467873241</v>
      </c>
      <c r="U30" s="321"/>
      <c r="V30" s="326">
        <v>580.23267008499147</v>
      </c>
      <c r="W30" s="321">
        <v>782.54856600742221</v>
      </c>
      <c r="X30" s="321">
        <v>387.3451</v>
      </c>
      <c r="Y30" s="327">
        <f t="shared" si="5"/>
        <v>6127.3390040775703</v>
      </c>
      <c r="AA30" s="326">
        <v>0</v>
      </c>
      <c r="AB30" s="321">
        <v>695.07371868274413</v>
      </c>
      <c r="AC30" s="331">
        <v>284.94</v>
      </c>
      <c r="AD30" s="327">
        <f t="shared" si="6"/>
        <v>5736.9862813172558</v>
      </c>
      <c r="AF30" s="328">
        <f t="shared" si="7"/>
        <v>2026.6302857447145</v>
      </c>
      <c r="AG30" s="329">
        <f t="shared" si="8"/>
        <v>1730.8107750591589</v>
      </c>
      <c r="AH30" s="329">
        <f t="shared" si="9"/>
        <v>434.66926547006824</v>
      </c>
      <c r="AI30" s="330">
        <f t="shared" si="10"/>
        <v>390.35272276031446</v>
      </c>
    </row>
    <row r="31" spans="1:35" ht="14.5" x14ac:dyDescent="0.35">
      <c r="A31" s="304">
        <f t="shared" si="0"/>
        <v>2046</v>
      </c>
      <c r="B31" s="371"/>
      <c r="C31" s="316">
        <f t="shared" si="1"/>
        <v>53662</v>
      </c>
      <c r="E31" s="325">
        <v>6825</v>
      </c>
      <c r="G31" s="326">
        <v>2692.3862814270574</v>
      </c>
      <c r="H31" s="321">
        <v>952.75156290245172</v>
      </c>
      <c r="I31" s="321">
        <v>652.50819999999999</v>
      </c>
      <c r="J31" s="327">
        <f t="shared" si="2"/>
        <v>7912.1265185246066</v>
      </c>
      <c r="K31" s="321"/>
      <c r="L31" s="326">
        <v>2177.6484964271044</v>
      </c>
      <c r="M31" s="321">
        <v>822.15502301855463</v>
      </c>
      <c r="N31" s="321">
        <v>574.90689999999995</v>
      </c>
      <c r="O31" s="327">
        <f t="shared" si="3"/>
        <v>7605.5865734085492</v>
      </c>
      <c r="P31" s="321"/>
      <c r="Q31" s="326">
        <v>534.37420700225596</v>
      </c>
      <c r="R31" s="321">
        <v>812.44298145830658</v>
      </c>
      <c r="S31" s="321">
        <v>283.3485</v>
      </c>
      <c r="T31" s="327">
        <f t="shared" si="4"/>
        <v>6263.5827255439499</v>
      </c>
      <c r="U31" s="321"/>
      <c r="V31" s="326">
        <v>597.21823745612414</v>
      </c>
      <c r="W31" s="321">
        <v>813.87057187432413</v>
      </c>
      <c r="X31" s="321">
        <v>386.37040000000002</v>
      </c>
      <c r="Y31" s="327">
        <f t="shared" si="5"/>
        <v>6221.9772655818006</v>
      </c>
      <c r="AA31" s="326">
        <v>0</v>
      </c>
      <c r="AB31" s="321">
        <v>724.25978660120109</v>
      </c>
      <c r="AC31" s="331">
        <v>283.35000000000002</v>
      </c>
      <c r="AD31" s="327">
        <f t="shared" si="6"/>
        <v>5817.3902133987986</v>
      </c>
      <c r="AF31" s="328">
        <f t="shared" si="7"/>
        <v>2094.736305125808</v>
      </c>
      <c r="AG31" s="329">
        <f t="shared" si="8"/>
        <v>1788.1963600097506</v>
      </c>
      <c r="AH31" s="329">
        <f t="shared" si="9"/>
        <v>446.19251214515134</v>
      </c>
      <c r="AI31" s="330">
        <f t="shared" si="10"/>
        <v>404.58705218300202</v>
      </c>
    </row>
    <row r="32" spans="1:35" ht="14.5" x14ac:dyDescent="0.35">
      <c r="A32" s="304">
        <f t="shared" si="0"/>
        <v>2047</v>
      </c>
      <c r="B32" s="371"/>
      <c r="C32" s="316">
        <f t="shared" si="1"/>
        <v>54027</v>
      </c>
      <c r="E32" s="325">
        <v>6931</v>
      </c>
      <c r="G32" s="326">
        <v>2768.7370712452762</v>
      </c>
      <c r="H32" s="321">
        <v>988.78205894714006</v>
      </c>
      <c r="I32" s="321">
        <v>657.7645</v>
      </c>
      <c r="J32" s="327">
        <f t="shared" si="2"/>
        <v>8053.1905122981361</v>
      </c>
      <c r="K32" s="321"/>
      <c r="L32" s="326">
        <v>2236.6499237747503</v>
      </c>
      <c r="M32" s="321">
        <v>850.36248626301449</v>
      </c>
      <c r="N32" s="321">
        <v>577.47490000000005</v>
      </c>
      <c r="O32" s="327">
        <f t="shared" si="3"/>
        <v>7739.8125375117352</v>
      </c>
      <c r="P32" s="321"/>
      <c r="Q32" s="326">
        <v>546.4158614953401</v>
      </c>
      <c r="R32" s="321">
        <v>839.6934892490093</v>
      </c>
      <c r="S32" s="321">
        <v>280.1404</v>
      </c>
      <c r="T32" s="327">
        <f t="shared" si="4"/>
        <v>6357.5819722463311</v>
      </c>
      <c r="U32" s="321"/>
      <c r="V32" s="326">
        <v>612.64403073361802</v>
      </c>
      <c r="W32" s="321">
        <v>841.20948748615035</v>
      </c>
      <c r="X32" s="321">
        <v>380.96190000000001</v>
      </c>
      <c r="Y32" s="327">
        <f t="shared" si="5"/>
        <v>6321.4726432474672</v>
      </c>
      <c r="AA32" s="326">
        <v>0</v>
      </c>
      <c r="AB32" s="321">
        <v>748.95810259455845</v>
      </c>
      <c r="AC32" s="331">
        <v>280.12</v>
      </c>
      <c r="AD32" s="327">
        <f t="shared" si="6"/>
        <v>5901.921897405442</v>
      </c>
      <c r="AF32" s="328">
        <f t="shared" si="7"/>
        <v>2151.2686148926941</v>
      </c>
      <c r="AG32" s="329">
        <f t="shared" si="8"/>
        <v>1837.8906401062932</v>
      </c>
      <c r="AH32" s="329">
        <f t="shared" si="9"/>
        <v>455.66007484088914</v>
      </c>
      <c r="AI32" s="330">
        <f t="shared" si="10"/>
        <v>419.55074584202521</v>
      </c>
    </row>
    <row r="33" spans="1:35" ht="14.5" x14ac:dyDescent="0.35">
      <c r="A33" s="304">
        <f t="shared" si="0"/>
        <v>2048</v>
      </c>
      <c r="B33" s="371"/>
      <c r="C33" s="316">
        <f t="shared" si="1"/>
        <v>54393</v>
      </c>
      <c r="E33" s="325">
        <v>7033</v>
      </c>
      <c r="G33" s="326">
        <v>2832.9321110117262</v>
      </c>
      <c r="H33" s="321">
        <v>1030.2842155268393</v>
      </c>
      <c r="I33" s="321">
        <v>657.7645</v>
      </c>
      <c r="J33" s="327">
        <f t="shared" si="2"/>
        <v>8177.8833954848878</v>
      </c>
      <c r="K33" s="321"/>
      <c r="L33" s="326">
        <v>2286.5074591067623</v>
      </c>
      <c r="M33" s="321">
        <v>881.17831146191531</v>
      </c>
      <c r="N33" s="321">
        <v>577.47490000000005</v>
      </c>
      <c r="O33" s="327">
        <f t="shared" si="3"/>
        <v>7860.8542476448465</v>
      </c>
      <c r="P33" s="321"/>
      <c r="Q33" s="326">
        <v>556.77662659062503</v>
      </c>
      <c r="R33" s="321">
        <v>868.97336520153874</v>
      </c>
      <c r="S33" s="321">
        <v>280.1404</v>
      </c>
      <c r="T33" s="327">
        <f t="shared" si="4"/>
        <v>6440.6628613890862</v>
      </c>
      <c r="U33" s="321"/>
      <c r="V33" s="326">
        <v>626.39409587776288</v>
      </c>
      <c r="W33" s="321">
        <v>870.60760819058987</v>
      </c>
      <c r="X33" s="321">
        <v>380.96190000000001</v>
      </c>
      <c r="Y33" s="327">
        <f t="shared" si="5"/>
        <v>6407.8245876871733</v>
      </c>
      <c r="AA33" s="326">
        <v>0</v>
      </c>
      <c r="AB33" s="321">
        <v>773.51278720897767</v>
      </c>
      <c r="AC33" s="331">
        <v>280.12</v>
      </c>
      <c r="AD33" s="327">
        <f t="shared" si="6"/>
        <v>5979.3672127910222</v>
      </c>
      <c r="AF33" s="328">
        <f t="shared" si="7"/>
        <v>2198.5161826938656</v>
      </c>
      <c r="AG33" s="329">
        <f t="shared" si="8"/>
        <v>1881.4870348538243</v>
      </c>
      <c r="AH33" s="329">
        <f t="shared" si="9"/>
        <v>461.29564859806396</v>
      </c>
      <c r="AI33" s="330">
        <f t="shared" si="10"/>
        <v>428.45737489615112</v>
      </c>
    </row>
    <row r="34" spans="1:35" ht="14.5" x14ac:dyDescent="0.35">
      <c r="A34" s="304">
        <f t="shared" si="0"/>
        <v>2049</v>
      </c>
      <c r="B34" s="371"/>
      <c r="C34" s="316">
        <f t="shared" si="1"/>
        <v>54758</v>
      </c>
      <c r="E34" s="325">
        <v>7150</v>
      </c>
      <c r="G34" s="326">
        <v>2880.1738160954733</v>
      </c>
      <c r="H34" s="321">
        <v>1068.2422291752368</v>
      </c>
      <c r="I34" s="321">
        <v>657.7645</v>
      </c>
      <c r="J34" s="327">
        <f t="shared" si="2"/>
        <v>8304.1670869202371</v>
      </c>
      <c r="K34" s="321"/>
      <c r="L34" s="326">
        <v>2325.7118490415069</v>
      </c>
      <c r="M34" s="321">
        <v>910.21163235856034</v>
      </c>
      <c r="N34" s="321">
        <v>577.47490000000005</v>
      </c>
      <c r="O34" s="327">
        <f t="shared" si="3"/>
        <v>7988.0253166829471</v>
      </c>
      <c r="P34" s="321"/>
      <c r="Q34" s="326">
        <v>567.75781460664473</v>
      </c>
      <c r="R34" s="321">
        <v>896.52006610162766</v>
      </c>
      <c r="S34" s="321">
        <v>280.1404</v>
      </c>
      <c r="T34" s="327">
        <f t="shared" si="4"/>
        <v>6541.0973485050163</v>
      </c>
      <c r="U34" s="321"/>
      <c r="V34" s="326">
        <v>640.68600188090909</v>
      </c>
      <c r="W34" s="321">
        <v>898.26428560602494</v>
      </c>
      <c r="X34" s="321">
        <v>380.96190000000001</v>
      </c>
      <c r="Y34" s="327">
        <f t="shared" si="5"/>
        <v>6511.4598162748844</v>
      </c>
      <c r="AA34" s="326">
        <v>0</v>
      </c>
      <c r="AB34" s="321">
        <v>797.89258757475864</v>
      </c>
      <c r="AC34" s="331">
        <v>280.12</v>
      </c>
      <c r="AD34" s="327">
        <f t="shared" si="6"/>
        <v>6071.987412425241</v>
      </c>
      <c r="AF34" s="328">
        <f t="shared" si="7"/>
        <v>2232.1796744949961</v>
      </c>
      <c r="AG34" s="329">
        <f t="shared" si="8"/>
        <v>1916.037904257706</v>
      </c>
      <c r="AH34" s="329">
        <f t="shared" si="9"/>
        <v>469.10993607977525</v>
      </c>
      <c r="AI34" s="330">
        <f t="shared" si="10"/>
        <v>439.47240384964334</v>
      </c>
    </row>
    <row r="35" spans="1:35" ht="12.75" customHeight="1" thickBot="1" x14ac:dyDescent="0.4">
      <c r="A35" s="304">
        <f t="shared" si="0"/>
        <v>2050</v>
      </c>
      <c r="B35" s="371"/>
      <c r="C35" s="316">
        <f t="shared" si="1"/>
        <v>55123</v>
      </c>
      <c r="E35" s="332">
        <v>7269</v>
      </c>
      <c r="G35" s="333">
        <v>2923.4756270558278</v>
      </c>
      <c r="H35" s="334">
        <v>1101.8265809677664</v>
      </c>
      <c r="I35" s="334">
        <v>657.7645</v>
      </c>
      <c r="J35" s="335">
        <f t="shared" si="2"/>
        <v>8432.8845460880621</v>
      </c>
      <c r="K35" s="321"/>
      <c r="L35" s="333">
        <v>2362.034601403695</v>
      </c>
      <c r="M35" s="334">
        <v>937.72308523774041</v>
      </c>
      <c r="N35" s="334">
        <v>577.47490000000005</v>
      </c>
      <c r="O35" s="335">
        <f t="shared" si="3"/>
        <v>8115.8366161659551</v>
      </c>
      <c r="P35" s="321"/>
      <c r="Q35" s="333">
        <v>579.72124758690995</v>
      </c>
      <c r="R35" s="334">
        <v>922.84494261597251</v>
      </c>
      <c r="S35" s="334">
        <v>280.1404</v>
      </c>
      <c r="T35" s="335">
        <f t="shared" si="4"/>
        <v>6645.7359049709376</v>
      </c>
      <c r="U35" s="321"/>
      <c r="V35" s="333">
        <v>656.11543839458511</v>
      </c>
      <c r="W35" s="334">
        <v>924.69062560966199</v>
      </c>
      <c r="X35" s="334">
        <v>380.96190000000001</v>
      </c>
      <c r="Y35" s="335">
        <f t="shared" si="5"/>
        <v>6619.462912784923</v>
      </c>
      <c r="AA35" s="333">
        <v>0</v>
      </c>
      <c r="AB35" s="334">
        <v>822.36757423562938</v>
      </c>
      <c r="AC35" s="336">
        <v>280.12</v>
      </c>
      <c r="AD35" s="335">
        <f t="shared" si="6"/>
        <v>6166.5124257643711</v>
      </c>
      <c r="AF35" s="337">
        <f t="shared" si="7"/>
        <v>2266.372120323691</v>
      </c>
      <c r="AG35" s="338">
        <f t="shared" si="8"/>
        <v>1949.324190401584</v>
      </c>
      <c r="AH35" s="338">
        <f t="shared" si="9"/>
        <v>479.22347920656648</v>
      </c>
      <c r="AI35" s="339">
        <f t="shared" si="10"/>
        <v>452.95048702055192</v>
      </c>
    </row>
    <row r="36" spans="1:35" ht="12.75" customHeight="1" x14ac:dyDescent="0.3">
      <c r="E36" s="288" t="s">
        <v>84</v>
      </c>
      <c r="J36" s="340"/>
      <c r="AF36" s="340"/>
    </row>
    <row r="37" spans="1:35" x14ac:dyDescent="0.3">
      <c r="E37" s="341"/>
      <c r="J37" s="340"/>
      <c r="O37" s="340"/>
      <c r="T37" s="340"/>
      <c r="Y37" s="340"/>
      <c r="AF37" s="340"/>
    </row>
  </sheetData>
  <mergeCells count="7">
    <mergeCell ref="AA3:AD3"/>
    <mergeCell ref="AF3:AI3"/>
    <mergeCell ref="B7:B35"/>
    <mergeCell ref="G3:J3"/>
    <mergeCell ref="L3:O3"/>
    <mergeCell ref="Q3:T3"/>
    <mergeCell ref="V3:Y3"/>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workbookViewId="0">
      <selection activeCell="L6" sqref="L6"/>
    </sheetView>
  </sheetViews>
  <sheetFormatPr defaultRowHeight="14.5" x14ac:dyDescent="0.35"/>
  <cols>
    <col min="1" max="1" width="47.26953125" bestFit="1" customWidth="1"/>
    <col min="2" max="2" width="25.54296875" customWidth="1"/>
    <col min="3" max="3" width="26.26953125" bestFit="1" customWidth="1"/>
    <col min="4" max="4" width="9.7265625" customWidth="1"/>
    <col min="5" max="5" width="11.26953125" bestFit="1" customWidth="1"/>
    <col min="6" max="6" width="9.7265625" customWidth="1"/>
    <col min="7" max="7" width="11.26953125" bestFit="1" customWidth="1"/>
    <col min="8" max="8" width="9.7265625" customWidth="1"/>
    <col min="9" max="9" width="11.26953125" bestFit="1" customWidth="1"/>
    <col min="10" max="10" width="9.7265625" customWidth="1"/>
    <col min="11" max="11" width="11.26953125" bestFit="1" customWidth="1"/>
    <col min="12" max="12" width="12.7265625" bestFit="1" customWidth="1"/>
    <col min="13" max="13" width="14" bestFit="1" customWidth="1"/>
    <col min="14" max="15" width="15.7265625" bestFit="1" customWidth="1"/>
    <col min="16" max="16" width="14" bestFit="1" customWidth="1"/>
    <col min="19" max="19" width="29.7265625" bestFit="1" customWidth="1"/>
  </cols>
  <sheetData>
    <row r="1" spans="1:26" x14ac:dyDescent="0.35">
      <c r="A1" s="269"/>
      <c r="B1" s="269"/>
      <c r="C1" s="269"/>
      <c r="D1" s="269"/>
      <c r="E1" s="269"/>
      <c r="F1" s="269"/>
      <c r="G1" s="269"/>
      <c r="H1" s="269"/>
      <c r="I1" s="269"/>
      <c r="J1" s="269"/>
      <c r="K1" s="269"/>
      <c r="L1" s="269"/>
      <c r="M1" s="254"/>
      <c r="N1" s="254"/>
      <c r="O1" s="254"/>
      <c r="P1" s="254"/>
      <c r="Q1" s="254"/>
      <c r="R1" s="254"/>
      <c r="S1" s="254"/>
      <c r="T1" s="254"/>
      <c r="U1" s="254"/>
      <c r="V1" s="254"/>
      <c r="W1" s="254"/>
      <c r="X1" s="254"/>
      <c r="Y1" s="254"/>
      <c r="Z1" s="254"/>
    </row>
    <row r="2" spans="1:26" x14ac:dyDescent="0.35">
      <c r="A2" s="277" t="s">
        <v>85</v>
      </c>
      <c r="B2" s="269"/>
      <c r="C2" s="269"/>
      <c r="D2" s="269"/>
      <c r="E2" s="269"/>
      <c r="F2" s="269"/>
      <c r="G2" s="269"/>
      <c r="H2" s="269"/>
      <c r="I2" s="269"/>
      <c r="J2" s="269"/>
      <c r="K2" s="269"/>
      <c r="L2" s="269"/>
      <c r="M2" s="254"/>
      <c r="N2" s="254"/>
      <c r="O2" s="254"/>
      <c r="P2" s="254"/>
      <c r="Q2" s="254"/>
      <c r="R2" s="254"/>
      <c r="S2" s="254"/>
      <c r="T2" s="254"/>
      <c r="U2" s="254"/>
      <c r="V2" s="254"/>
      <c r="W2" s="254"/>
      <c r="X2" s="254"/>
      <c r="Y2" s="254"/>
      <c r="Z2" s="254"/>
    </row>
    <row r="3" spans="1:26" x14ac:dyDescent="0.35">
      <c r="A3" s="269"/>
      <c r="B3" s="269"/>
      <c r="C3" s="269"/>
      <c r="D3" s="269"/>
      <c r="E3" s="269"/>
      <c r="F3" s="269"/>
      <c r="G3" s="269"/>
      <c r="H3" s="269"/>
      <c r="I3" s="269"/>
      <c r="J3" s="269"/>
      <c r="K3" s="269"/>
      <c r="L3" s="269"/>
      <c r="M3" s="254"/>
      <c r="N3" s="254"/>
      <c r="O3" s="254"/>
      <c r="P3" s="254"/>
      <c r="Q3" s="254"/>
      <c r="R3" s="254"/>
      <c r="S3" s="254"/>
      <c r="T3" s="254"/>
      <c r="U3" s="254"/>
      <c r="V3" s="254"/>
      <c r="W3" s="254"/>
      <c r="X3" s="254"/>
      <c r="Y3" s="254"/>
      <c r="Z3" s="254"/>
    </row>
    <row r="4" spans="1:26" x14ac:dyDescent="0.35">
      <c r="A4" s="397" t="s">
        <v>16</v>
      </c>
      <c r="B4" s="397" t="s">
        <v>86</v>
      </c>
      <c r="C4" s="397" t="s">
        <v>87</v>
      </c>
      <c r="D4" s="387" t="s">
        <v>88</v>
      </c>
      <c r="E4" s="388"/>
      <c r="F4" s="388"/>
      <c r="G4" s="388"/>
      <c r="H4" s="389"/>
      <c r="I4" s="281"/>
      <c r="J4" s="269"/>
      <c r="K4" s="269"/>
      <c r="L4" s="269"/>
      <c r="M4" s="254"/>
      <c r="N4" s="254"/>
      <c r="O4" s="254"/>
      <c r="P4" s="254"/>
      <c r="Q4" s="254"/>
      <c r="R4" s="254"/>
      <c r="S4" s="254"/>
      <c r="T4" s="254"/>
      <c r="U4" s="254"/>
      <c r="V4" s="254"/>
      <c r="W4" s="254"/>
      <c r="X4" s="254"/>
      <c r="Y4" s="254"/>
      <c r="Z4" s="254"/>
    </row>
    <row r="5" spans="1:26" ht="70.5" x14ac:dyDescent="0.35">
      <c r="A5" s="397"/>
      <c r="B5" s="397"/>
      <c r="C5" s="397"/>
      <c r="D5" s="268" t="s">
        <v>10</v>
      </c>
      <c r="E5" s="268"/>
      <c r="F5" s="268" t="s">
        <v>11</v>
      </c>
      <c r="G5" s="268"/>
      <c r="H5" s="268" t="s">
        <v>12</v>
      </c>
      <c r="I5" s="268"/>
      <c r="J5" s="268" t="s">
        <v>89</v>
      </c>
      <c r="K5" s="269"/>
      <c r="L5" s="269"/>
      <c r="M5" s="254"/>
      <c r="N5" s="254"/>
      <c r="O5" s="254"/>
      <c r="P5" s="254"/>
      <c r="Q5" s="254"/>
      <c r="R5" s="254"/>
      <c r="S5" s="254"/>
      <c r="T5" s="254"/>
      <c r="U5" s="254"/>
      <c r="V5" s="254"/>
      <c r="W5" s="254"/>
      <c r="X5" s="254"/>
      <c r="Y5" s="254"/>
      <c r="Z5" s="254"/>
    </row>
    <row r="6" spans="1:26" x14ac:dyDescent="0.35">
      <c r="A6" s="271"/>
      <c r="B6" s="271"/>
      <c r="C6" s="271" t="s">
        <v>90</v>
      </c>
      <c r="D6" s="272">
        <v>37.299999999999997</v>
      </c>
      <c r="E6" s="272"/>
      <c r="F6" s="272">
        <v>142</v>
      </c>
      <c r="G6" s="272"/>
      <c r="H6" s="272">
        <v>366</v>
      </c>
      <c r="I6" s="285"/>
      <c r="J6" s="269">
        <f>AVERAGE(D6:H6)</f>
        <v>181.76666666666665</v>
      </c>
      <c r="K6" s="269"/>
      <c r="L6" s="269"/>
      <c r="M6" s="254"/>
      <c r="N6" s="254"/>
      <c r="O6" s="254"/>
      <c r="P6" s="254"/>
      <c r="Q6" s="254"/>
      <c r="R6" s="254"/>
      <c r="S6" s="254"/>
      <c r="T6" s="254"/>
      <c r="U6" s="254"/>
      <c r="V6" s="254"/>
      <c r="W6" s="254"/>
      <c r="X6" s="254"/>
      <c r="Y6" s="254"/>
      <c r="Z6" s="254"/>
    </row>
    <row r="7" spans="1:26" ht="14.5" customHeight="1" x14ac:dyDescent="0.35">
      <c r="A7" s="270" t="s">
        <v>91</v>
      </c>
      <c r="B7" s="270" t="s">
        <v>92</v>
      </c>
      <c r="C7" s="270" t="s">
        <v>93</v>
      </c>
      <c r="D7" s="275">
        <v>0</v>
      </c>
      <c r="E7" s="275"/>
      <c r="F7" s="275">
        <v>0</v>
      </c>
      <c r="G7" s="275"/>
      <c r="H7" s="275">
        <v>0</v>
      </c>
      <c r="I7" s="282"/>
      <c r="J7" s="269">
        <f t="shared" ref="J7:J13" si="0">AVERAGE(D7:H7)</f>
        <v>0</v>
      </c>
      <c r="K7" s="269"/>
      <c r="L7" s="273">
        <v>4000000</v>
      </c>
      <c r="M7" s="274">
        <f>D7*$L7</f>
        <v>0</v>
      </c>
      <c r="N7" s="274">
        <f>F7*$L7</f>
        <v>0</v>
      </c>
      <c r="O7" s="274">
        <f>H7*$L7</f>
        <v>0</v>
      </c>
      <c r="P7" s="254"/>
      <c r="Q7" s="254"/>
      <c r="R7" s="254"/>
      <c r="S7" s="254"/>
      <c r="T7" s="254"/>
      <c r="U7" s="254"/>
      <c r="V7" s="254"/>
      <c r="W7" s="254"/>
      <c r="X7" s="254"/>
      <c r="Y7" s="254"/>
      <c r="Z7" s="254"/>
    </row>
    <row r="8" spans="1:26" ht="14.5" customHeight="1" x14ac:dyDescent="0.35">
      <c r="A8" s="270" t="s">
        <v>94</v>
      </c>
      <c r="B8" s="270" t="s">
        <v>92</v>
      </c>
      <c r="C8" s="270" t="s">
        <v>95</v>
      </c>
      <c r="D8" s="275">
        <v>0</v>
      </c>
      <c r="E8" s="275"/>
      <c r="F8" s="275">
        <v>0</v>
      </c>
      <c r="G8" s="275"/>
      <c r="H8" s="275">
        <v>0</v>
      </c>
      <c r="I8" s="282"/>
      <c r="J8" s="269">
        <f t="shared" si="0"/>
        <v>0</v>
      </c>
      <c r="K8" s="269"/>
      <c r="L8" s="273">
        <v>6000000</v>
      </c>
      <c r="M8" s="274">
        <f t="shared" ref="M8:M13" si="1">D8*$L8</f>
        <v>0</v>
      </c>
      <c r="N8" s="274">
        <f t="shared" ref="N8:N13" si="2">F8*$L8</f>
        <v>0</v>
      </c>
      <c r="O8" s="274">
        <f t="shared" ref="O8:O13" si="3">H8*$L8</f>
        <v>0</v>
      </c>
      <c r="P8" s="254"/>
      <c r="Q8" s="254"/>
      <c r="R8" s="254"/>
      <c r="S8" s="254"/>
      <c r="T8" s="254"/>
      <c r="U8" s="254"/>
      <c r="V8" s="254"/>
      <c r="W8" s="254"/>
      <c r="X8" s="254"/>
      <c r="Y8" s="254"/>
      <c r="Z8" s="254"/>
    </row>
    <row r="9" spans="1:26" ht="14.5" customHeight="1" x14ac:dyDescent="0.35">
      <c r="A9" s="270" t="s">
        <v>96</v>
      </c>
      <c r="B9" s="270" t="s">
        <v>97</v>
      </c>
      <c r="C9" s="270" t="s">
        <v>98</v>
      </c>
      <c r="D9" s="275">
        <v>0</v>
      </c>
      <c r="E9" s="275"/>
      <c r="F9" s="275">
        <v>0</v>
      </c>
      <c r="G9" s="275"/>
      <c r="H9" s="275">
        <v>0</v>
      </c>
      <c r="I9" s="282"/>
      <c r="J9" s="269">
        <f t="shared" si="0"/>
        <v>0</v>
      </c>
      <c r="K9" s="269"/>
      <c r="L9" s="273">
        <v>8000000</v>
      </c>
      <c r="M9" s="274">
        <f t="shared" si="1"/>
        <v>0</v>
      </c>
      <c r="N9" s="274">
        <f t="shared" si="2"/>
        <v>0</v>
      </c>
      <c r="O9" s="274">
        <f t="shared" si="3"/>
        <v>0</v>
      </c>
      <c r="P9" s="254"/>
      <c r="Q9" s="254"/>
      <c r="R9" s="254"/>
      <c r="S9" s="254"/>
      <c r="T9" s="254"/>
      <c r="U9" s="254"/>
      <c r="V9" s="254"/>
      <c r="W9" s="254"/>
      <c r="X9" s="254"/>
      <c r="Y9" s="254"/>
      <c r="Z9" s="254"/>
    </row>
    <row r="10" spans="1:26" ht="14.5" customHeight="1" x14ac:dyDescent="0.35">
      <c r="A10" s="270" t="s">
        <v>99</v>
      </c>
      <c r="B10" s="270" t="s">
        <v>100</v>
      </c>
      <c r="C10" s="270" t="s">
        <v>101</v>
      </c>
      <c r="D10" s="275">
        <v>0</v>
      </c>
      <c r="E10" s="275"/>
      <c r="F10" s="275">
        <v>0</v>
      </c>
      <c r="G10" s="275"/>
      <c r="H10" s="275">
        <v>0</v>
      </c>
      <c r="I10" s="282"/>
      <c r="J10" s="269">
        <f t="shared" si="0"/>
        <v>0</v>
      </c>
      <c r="K10" s="269"/>
      <c r="L10" s="273">
        <v>15000000</v>
      </c>
      <c r="M10" s="274">
        <f t="shared" si="1"/>
        <v>0</v>
      </c>
      <c r="N10" s="274">
        <f>F10*$L10</f>
        <v>0</v>
      </c>
      <c r="O10" s="274">
        <f t="shared" si="3"/>
        <v>0</v>
      </c>
      <c r="P10" s="254"/>
      <c r="Q10" s="254"/>
      <c r="R10" s="254"/>
      <c r="S10" s="254"/>
      <c r="T10" s="254"/>
      <c r="U10" s="254"/>
      <c r="V10" s="254"/>
      <c r="W10" s="254"/>
      <c r="X10" s="254"/>
      <c r="Y10" s="254"/>
      <c r="Z10" s="254"/>
    </row>
    <row r="11" spans="1:26" x14ac:dyDescent="0.35">
      <c r="A11" s="270" t="s">
        <v>102</v>
      </c>
      <c r="B11" s="270" t="s">
        <v>97</v>
      </c>
      <c r="C11" s="270" t="s">
        <v>103</v>
      </c>
      <c r="D11" s="275">
        <v>1</v>
      </c>
      <c r="E11" s="275"/>
      <c r="F11" s="275">
        <v>2</v>
      </c>
      <c r="G11" s="275"/>
      <c r="H11" s="275">
        <v>9</v>
      </c>
      <c r="I11" s="282"/>
      <c r="J11" s="269">
        <f t="shared" si="0"/>
        <v>4</v>
      </c>
      <c r="K11" s="269"/>
      <c r="L11" s="273">
        <v>10500000</v>
      </c>
      <c r="M11" s="274">
        <f t="shared" si="1"/>
        <v>10500000</v>
      </c>
      <c r="N11" s="274">
        <f>F11*$L11</f>
        <v>21000000</v>
      </c>
      <c r="O11" s="274">
        <f t="shared" si="3"/>
        <v>94500000</v>
      </c>
      <c r="P11" s="254"/>
      <c r="Q11" s="254"/>
      <c r="R11" s="254"/>
      <c r="S11" s="254"/>
      <c r="T11" s="254"/>
      <c r="U11" s="254"/>
      <c r="V11" s="254"/>
      <c r="W11" s="254"/>
      <c r="X11" s="254"/>
      <c r="Y11" s="254"/>
      <c r="Z11" s="254"/>
    </row>
    <row r="12" spans="1:26" x14ac:dyDescent="0.35">
      <c r="A12" s="270" t="s">
        <v>104</v>
      </c>
      <c r="B12" s="270" t="s">
        <v>92</v>
      </c>
      <c r="C12" s="270" t="s">
        <v>105</v>
      </c>
      <c r="D12" s="275">
        <v>6</v>
      </c>
      <c r="E12" s="275"/>
      <c r="F12" s="275">
        <v>12</v>
      </c>
      <c r="G12" s="275"/>
      <c r="H12" s="275">
        <v>33</v>
      </c>
      <c r="I12" s="282"/>
      <c r="J12" s="269">
        <f t="shared" si="0"/>
        <v>17</v>
      </c>
      <c r="K12" s="269"/>
      <c r="L12" s="273">
        <v>2000000</v>
      </c>
      <c r="M12" s="274">
        <f t="shared" si="1"/>
        <v>12000000</v>
      </c>
      <c r="N12" s="274">
        <f t="shared" si="2"/>
        <v>24000000</v>
      </c>
      <c r="O12" s="274">
        <f t="shared" si="3"/>
        <v>66000000</v>
      </c>
      <c r="P12" s="254"/>
      <c r="Q12" s="254"/>
      <c r="R12" s="254"/>
      <c r="S12" s="254"/>
      <c r="T12" s="254"/>
      <c r="U12" s="254"/>
      <c r="V12" s="254"/>
      <c r="W12" s="254"/>
      <c r="X12" s="254"/>
      <c r="Y12" s="254"/>
      <c r="Z12" s="254"/>
    </row>
    <row r="13" spans="1:26" x14ac:dyDescent="0.35">
      <c r="A13" s="270" t="s">
        <v>106</v>
      </c>
      <c r="B13" s="270" t="s">
        <v>97</v>
      </c>
      <c r="C13" s="270" t="s">
        <v>107</v>
      </c>
      <c r="D13" s="275">
        <v>0</v>
      </c>
      <c r="E13" s="275"/>
      <c r="F13" s="275">
        <v>6026</v>
      </c>
      <c r="G13" s="275"/>
      <c r="H13" s="275">
        <v>9212</v>
      </c>
      <c r="I13" s="282"/>
      <c r="J13" s="269">
        <f t="shared" si="0"/>
        <v>5079.333333333333</v>
      </c>
      <c r="K13" s="269"/>
      <c r="L13" s="273">
        <v>15700</v>
      </c>
      <c r="M13" s="274">
        <f t="shared" si="1"/>
        <v>0</v>
      </c>
      <c r="N13" s="274">
        <f t="shared" si="2"/>
        <v>94608200</v>
      </c>
      <c r="O13" s="274">
        <f t="shared" si="3"/>
        <v>144628400</v>
      </c>
      <c r="P13" s="254"/>
      <c r="Q13" s="254"/>
      <c r="R13" s="254"/>
      <c r="S13" s="254"/>
      <c r="T13" s="254"/>
      <c r="U13" s="254"/>
      <c r="V13" s="254"/>
      <c r="W13" s="254"/>
      <c r="X13" s="254"/>
      <c r="Y13" s="254"/>
      <c r="Z13" s="254"/>
    </row>
    <row r="14" spans="1:26" x14ac:dyDescent="0.35">
      <c r="A14" s="269"/>
      <c r="B14" s="269"/>
      <c r="C14" s="269"/>
      <c r="D14" s="269"/>
      <c r="E14" s="269"/>
      <c r="F14" s="269"/>
      <c r="G14" s="269"/>
      <c r="H14" s="269"/>
      <c r="I14" s="269"/>
      <c r="J14" s="269"/>
      <c r="K14" s="269"/>
      <c r="L14" s="273"/>
      <c r="M14" s="273">
        <f>SUM(M7:M13)</f>
        <v>22500000</v>
      </c>
      <c r="N14" s="273">
        <f>SUM(N7:N13)</f>
        <v>139608200</v>
      </c>
      <c r="O14" s="273">
        <f>SUM(O7:O13)</f>
        <v>305128400</v>
      </c>
      <c r="P14" s="254"/>
      <c r="Q14" s="254"/>
      <c r="R14" s="254"/>
      <c r="S14" s="254"/>
      <c r="T14" s="254"/>
      <c r="U14" s="254"/>
      <c r="V14" s="254"/>
      <c r="W14" s="254"/>
      <c r="X14" s="254"/>
      <c r="Y14" s="254"/>
      <c r="Z14" s="254"/>
    </row>
    <row r="15" spans="1:26" x14ac:dyDescent="0.35">
      <c r="A15" s="269"/>
      <c r="B15" s="269"/>
      <c r="C15" s="269"/>
      <c r="D15" s="269"/>
      <c r="E15" s="269"/>
      <c r="F15" s="269"/>
      <c r="G15" s="269"/>
      <c r="H15" s="269"/>
      <c r="I15" s="269"/>
      <c r="J15" s="269"/>
      <c r="K15" s="269"/>
      <c r="L15" s="269"/>
      <c r="M15" s="254"/>
      <c r="N15" s="254"/>
      <c r="O15" s="254"/>
      <c r="P15" s="254"/>
      <c r="Q15" s="254"/>
      <c r="R15" s="254"/>
      <c r="S15" s="254"/>
      <c r="T15" s="254"/>
      <c r="U15" s="254"/>
      <c r="V15" s="254"/>
      <c r="W15" s="254"/>
      <c r="X15" s="254"/>
      <c r="Y15" s="254"/>
      <c r="Z15" s="254"/>
    </row>
    <row r="16" spans="1:26" x14ac:dyDescent="0.35">
      <c r="A16" s="269"/>
      <c r="B16" s="269"/>
      <c r="C16" s="269"/>
      <c r="D16" s="269"/>
      <c r="E16" s="269"/>
      <c r="F16" s="269"/>
      <c r="G16" s="269"/>
      <c r="H16" s="269"/>
      <c r="I16" s="269"/>
      <c r="J16" s="269"/>
      <c r="K16" s="269"/>
      <c r="L16" s="269"/>
      <c r="M16" s="254"/>
      <c r="N16" s="254"/>
      <c r="O16" s="254"/>
      <c r="P16" s="254"/>
      <c r="Q16" s="254"/>
      <c r="R16" s="254"/>
      <c r="S16" s="254"/>
      <c r="T16" s="254"/>
      <c r="U16" s="254"/>
      <c r="V16" s="254"/>
      <c r="W16" s="254"/>
      <c r="X16" s="254"/>
      <c r="Y16" s="254"/>
      <c r="Z16" s="254"/>
    </row>
    <row r="17" spans="1:26" x14ac:dyDescent="0.35">
      <c r="A17" s="397" t="s">
        <v>16</v>
      </c>
      <c r="B17" s="397" t="s">
        <v>86</v>
      </c>
      <c r="C17" s="397" t="s">
        <v>87</v>
      </c>
      <c r="D17" s="387" t="s">
        <v>108</v>
      </c>
      <c r="E17" s="388"/>
      <c r="F17" s="388"/>
      <c r="G17" s="388"/>
      <c r="H17" s="389"/>
      <c r="I17" s="281"/>
      <c r="J17" s="269"/>
      <c r="K17" s="269"/>
      <c r="L17" s="269"/>
      <c r="M17" s="254"/>
      <c r="N17" s="254"/>
      <c r="O17" s="254"/>
      <c r="P17" s="254"/>
      <c r="Q17" s="254"/>
      <c r="R17" s="254"/>
      <c r="S17" s="254"/>
      <c r="T17" s="254"/>
      <c r="U17" s="254"/>
      <c r="V17" s="254"/>
      <c r="W17" s="254"/>
      <c r="X17" s="254"/>
      <c r="Y17" s="254"/>
      <c r="Z17" s="254"/>
    </row>
    <row r="18" spans="1:26" ht="70.5" x14ac:dyDescent="0.35">
      <c r="A18" s="397"/>
      <c r="B18" s="397"/>
      <c r="C18" s="397"/>
      <c r="D18" s="268" t="s">
        <v>10</v>
      </c>
      <c r="E18" s="268"/>
      <c r="F18" s="268" t="s">
        <v>11</v>
      </c>
      <c r="G18" s="268"/>
      <c r="H18" s="268" t="s">
        <v>12</v>
      </c>
      <c r="I18" s="268"/>
      <c r="J18" s="268" t="s">
        <v>89</v>
      </c>
      <c r="K18" s="269"/>
      <c r="L18" s="269"/>
      <c r="M18" s="254"/>
      <c r="N18" s="254"/>
      <c r="O18" s="254"/>
      <c r="P18" s="254"/>
      <c r="Q18" s="254"/>
      <c r="R18" s="254"/>
      <c r="S18" s="254"/>
      <c r="T18" s="254"/>
      <c r="U18" s="254"/>
      <c r="V18" s="254"/>
      <c r="W18" s="254"/>
      <c r="X18" s="254"/>
      <c r="Y18" s="254"/>
      <c r="Z18" s="254"/>
    </row>
    <row r="19" spans="1:26" x14ac:dyDescent="0.35">
      <c r="A19" s="271"/>
      <c r="B19" s="271"/>
      <c r="C19" s="271" t="s">
        <v>90</v>
      </c>
      <c r="D19" s="272">
        <v>311</v>
      </c>
      <c r="E19" s="272"/>
      <c r="F19" s="272">
        <v>1366</v>
      </c>
      <c r="G19" s="272"/>
      <c r="H19" s="272">
        <v>3053</v>
      </c>
      <c r="I19" s="285"/>
      <c r="J19" s="269">
        <f>AVERAGE(D19:H19)</f>
        <v>1576.6666666666667</v>
      </c>
      <c r="K19" s="269"/>
      <c r="L19" s="254"/>
      <c r="M19" s="254"/>
      <c r="N19" s="254"/>
      <c r="O19" s="254"/>
      <c r="P19" s="254"/>
      <c r="Q19" s="254"/>
      <c r="R19" s="254"/>
      <c r="S19" s="254"/>
      <c r="T19" s="254"/>
      <c r="U19" s="254"/>
      <c r="V19" s="254"/>
      <c r="W19" s="254"/>
      <c r="X19" s="254"/>
      <c r="Y19" s="254"/>
      <c r="Z19" s="254"/>
    </row>
    <row r="20" spans="1:26" x14ac:dyDescent="0.35">
      <c r="A20" s="270" t="s">
        <v>91</v>
      </c>
      <c r="B20" s="270" t="s">
        <v>92</v>
      </c>
      <c r="C20" s="270" t="s">
        <v>93</v>
      </c>
      <c r="D20" s="275">
        <v>66.7</v>
      </c>
      <c r="E20" s="275"/>
      <c r="F20" s="275">
        <v>73.099999999999994</v>
      </c>
      <c r="G20" s="275"/>
      <c r="H20" s="275">
        <v>177.4</v>
      </c>
      <c r="I20" s="282"/>
      <c r="J20" s="269">
        <f t="shared" ref="J20:J26" si="4">AVERAGE(D20:H20)</f>
        <v>105.73333333333335</v>
      </c>
      <c r="K20" s="269"/>
      <c r="L20" s="273">
        <v>4000000</v>
      </c>
      <c r="M20" s="276">
        <f>D20*$L20</f>
        <v>266800000</v>
      </c>
      <c r="N20" s="274">
        <f t="shared" ref="N20:N22" si="5">F20*$L20</f>
        <v>292400000</v>
      </c>
      <c r="O20" s="274">
        <f t="shared" ref="O20:O26" si="6">H20*$L20</f>
        <v>709600000</v>
      </c>
      <c r="P20" s="254"/>
      <c r="Q20" s="254"/>
      <c r="R20" s="254"/>
      <c r="S20" s="254"/>
      <c r="T20" s="254"/>
      <c r="U20" s="254"/>
      <c r="V20" s="254"/>
      <c r="W20" s="254"/>
      <c r="X20" s="254"/>
      <c r="Y20" s="254"/>
      <c r="Z20" s="254"/>
    </row>
    <row r="21" spans="1:26" x14ac:dyDescent="0.35">
      <c r="A21" s="270" t="s">
        <v>94</v>
      </c>
      <c r="B21" s="270" t="s">
        <v>92</v>
      </c>
      <c r="C21" s="270" t="s">
        <v>95</v>
      </c>
      <c r="D21" s="275">
        <v>2</v>
      </c>
      <c r="E21" s="275"/>
      <c r="F21" s="275">
        <v>3.2</v>
      </c>
      <c r="G21" s="275"/>
      <c r="H21" s="275">
        <v>4.2</v>
      </c>
      <c r="I21" s="282"/>
      <c r="J21" s="269">
        <f t="shared" si="4"/>
        <v>3.1333333333333333</v>
      </c>
      <c r="K21" s="269"/>
      <c r="L21" s="273">
        <v>6000000</v>
      </c>
      <c r="M21" s="274">
        <f t="shared" ref="M21:M26" si="7">D21*$L21</f>
        <v>12000000</v>
      </c>
      <c r="N21" s="274">
        <f t="shared" si="5"/>
        <v>19200000</v>
      </c>
      <c r="O21" s="274">
        <f t="shared" si="6"/>
        <v>25200000</v>
      </c>
      <c r="P21" s="254"/>
      <c r="Q21" s="254"/>
      <c r="R21" s="254"/>
      <c r="S21" s="254"/>
      <c r="T21" s="254"/>
      <c r="U21" s="254"/>
      <c r="V21" s="254"/>
      <c r="W21" s="254"/>
      <c r="X21" s="254"/>
      <c r="Y21" s="254"/>
      <c r="Z21" s="254"/>
    </row>
    <row r="22" spans="1:26" x14ac:dyDescent="0.35">
      <c r="A22" s="270" t="s">
        <v>96</v>
      </c>
      <c r="B22" s="270" t="s">
        <v>97</v>
      </c>
      <c r="C22" s="270" t="s">
        <v>98</v>
      </c>
      <c r="D22" s="275">
        <v>4</v>
      </c>
      <c r="E22" s="275"/>
      <c r="F22" s="275">
        <v>4.7</v>
      </c>
      <c r="G22" s="275"/>
      <c r="H22" s="275">
        <v>5.7</v>
      </c>
      <c r="I22" s="282"/>
      <c r="J22" s="269">
        <f t="shared" si="4"/>
        <v>4.8</v>
      </c>
      <c r="K22" s="269"/>
      <c r="L22" s="273">
        <v>8000000</v>
      </c>
      <c r="M22" s="274">
        <f t="shared" si="7"/>
        <v>32000000</v>
      </c>
      <c r="N22" s="274">
        <f t="shared" si="5"/>
        <v>37600000</v>
      </c>
      <c r="O22" s="274">
        <f t="shared" si="6"/>
        <v>45600000</v>
      </c>
      <c r="P22" s="254"/>
      <c r="Q22" s="254"/>
      <c r="R22" s="254"/>
      <c r="S22" s="254"/>
      <c r="T22" s="254"/>
      <c r="U22" s="254"/>
      <c r="V22" s="254"/>
      <c r="W22" s="254"/>
      <c r="X22" s="254"/>
      <c r="Y22" s="254"/>
      <c r="Z22" s="254"/>
    </row>
    <row r="23" spans="1:26" x14ac:dyDescent="0.35">
      <c r="A23" s="270" t="s">
        <v>99</v>
      </c>
      <c r="B23" s="270" t="s">
        <v>100</v>
      </c>
      <c r="C23" s="270" t="s">
        <v>101</v>
      </c>
      <c r="D23" s="275">
        <v>3</v>
      </c>
      <c r="E23" s="275"/>
      <c r="F23" s="275">
        <v>3.25</v>
      </c>
      <c r="G23" s="275"/>
      <c r="H23" s="275">
        <v>6.25</v>
      </c>
      <c r="I23" s="282"/>
      <c r="J23" s="269">
        <f t="shared" si="4"/>
        <v>4.166666666666667</v>
      </c>
      <c r="K23" s="269"/>
      <c r="L23" s="273">
        <v>15000000</v>
      </c>
      <c r="M23" s="274">
        <f t="shared" si="7"/>
        <v>45000000</v>
      </c>
      <c r="N23" s="274">
        <f>F23*$L23</f>
        <v>48750000</v>
      </c>
      <c r="O23" s="274">
        <f t="shared" si="6"/>
        <v>93750000</v>
      </c>
      <c r="P23" s="254"/>
      <c r="Q23" s="254"/>
      <c r="R23" s="254"/>
      <c r="S23" s="254"/>
      <c r="T23" s="254"/>
      <c r="U23" s="254"/>
      <c r="V23" s="254"/>
      <c r="W23" s="254"/>
      <c r="X23" s="254"/>
      <c r="Y23" s="254"/>
      <c r="Z23" s="254"/>
    </row>
    <row r="24" spans="1:26" x14ac:dyDescent="0.35">
      <c r="A24" s="270" t="s">
        <v>102</v>
      </c>
      <c r="B24" s="270" t="s">
        <v>97</v>
      </c>
      <c r="C24" s="270" t="s">
        <v>103</v>
      </c>
      <c r="D24" s="275">
        <v>20</v>
      </c>
      <c r="E24" s="275"/>
      <c r="F24" s="275">
        <v>41</v>
      </c>
      <c r="G24" s="275"/>
      <c r="H24" s="275">
        <v>107</v>
      </c>
      <c r="I24" s="282"/>
      <c r="J24" s="269">
        <f t="shared" si="4"/>
        <v>56</v>
      </c>
      <c r="K24" s="269"/>
      <c r="L24" s="273">
        <v>10500000</v>
      </c>
      <c r="M24" s="274">
        <f t="shared" si="7"/>
        <v>210000000</v>
      </c>
      <c r="N24" s="274">
        <f>F24*$L24</f>
        <v>430500000</v>
      </c>
      <c r="O24" s="274">
        <f t="shared" si="6"/>
        <v>1123500000</v>
      </c>
      <c r="P24" s="254"/>
      <c r="Q24" s="254"/>
      <c r="R24" s="254"/>
      <c r="S24" s="254"/>
      <c r="T24" s="254"/>
      <c r="U24" s="254"/>
      <c r="V24" s="254"/>
      <c r="W24" s="254"/>
      <c r="X24" s="254"/>
      <c r="Y24" s="254"/>
      <c r="Z24" s="254"/>
    </row>
    <row r="25" spans="1:26" x14ac:dyDescent="0.35">
      <c r="A25" s="270" t="s">
        <v>104</v>
      </c>
      <c r="B25" s="270" t="s">
        <v>92</v>
      </c>
      <c r="C25" s="270" t="s">
        <v>105</v>
      </c>
      <c r="D25" s="275">
        <v>48</v>
      </c>
      <c r="E25" s="275"/>
      <c r="F25" s="275">
        <v>108</v>
      </c>
      <c r="G25" s="275"/>
      <c r="H25" s="275">
        <v>57</v>
      </c>
      <c r="I25" s="282"/>
      <c r="J25" s="269">
        <f t="shared" si="4"/>
        <v>71</v>
      </c>
      <c r="K25" s="269"/>
      <c r="L25" s="273">
        <v>2000000</v>
      </c>
      <c r="M25" s="274">
        <f t="shared" si="7"/>
        <v>96000000</v>
      </c>
      <c r="N25" s="274">
        <f t="shared" ref="N25:N26" si="8">F25*$L25</f>
        <v>216000000</v>
      </c>
      <c r="O25" s="274">
        <f t="shared" si="6"/>
        <v>114000000</v>
      </c>
      <c r="P25" s="254"/>
      <c r="Q25" s="254"/>
      <c r="R25" s="254"/>
      <c r="S25" s="254"/>
      <c r="T25" s="254"/>
      <c r="U25" s="254"/>
      <c r="V25" s="254"/>
      <c r="W25" s="254"/>
      <c r="X25" s="254"/>
      <c r="Y25" s="254"/>
      <c r="Z25" s="254"/>
    </row>
    <row r="26" spans="1:26" x14ac:dyDescent="0.35">
      <c r="A26" s="270" t="s">
        <v>106</v>
      </c>
      <c r="B26" s="270" t="s">
        <v>97</v>
      </c>
      <c r="C26" s="270" t="s">
        <v>107</v>
      </c>
      <c r="D26" s="275">
        <v>0</v>
      </c>
      <c r="E26" s="275"/>
      <c r="F26" s="275">
        <v>55591</v>
      </c>
      <c r="G26" s="275"/>
      <c r="H26" s="275">
        <v>66714</v>
      </c>
      <c r="I26" s="282"/>
      <c r="J26" s="269">
        <f t="shared" si="4"/>
        <v>40768.333333333336</v>
      </c>
      <c r="K26" s="269"/>
      <c r="L26" s="273">
        <v>15700</v>
      </c>
      <c r="M26" s="274">
        <f t="shared" si="7"/>
        <v>0</v>
      </c>
      <c r="N26" s="274">
        <f t="shared" si="8"/>
        <v>872778700</v>
      </c>
      <c r="O26" s="274">
        <f t="shared" si="6"/>
        <v>1047409800</v>
      </c>
      <c r="P26" s="254"/>
      <c r="Q26" s="254"/>
      <c r="R26" s="254"/>
      <c r="S26" s="254"/>
      <c r="T26" s="254"/>
      <c r="U26" s="254"/>
      <c r="V26" s="254"/>
      <c r="W26" s="254"/>
      <c r="X26" s="254"/>
      <c r="Y26" s="254"/>
      <c r="Z26" s="254"/>
    </row>
    <row r="27" spans="1:26" x14ac:dyDescent="0.35">
      <c r="A27" s="254"/>
      <c r="B27" s="254"/>
      <c r="C27" s="254"/>
      <c r="D27" s="254"/>
      <c r="E27" s="254"/>
      <c r="F27" s="254"/>
      <c r="G27" s="254"/>
      <c r="H27" s="254"/>
      <c r="I27" s="254"/>
      <c r="J27" s="269"/>
      <c r="K27" s="269"/>
      <c r="L27" s="273"/>
      <c r="M27" s="273">
        <f>SUM(M20:M26)</f>
        <v>661800000</v>
      </c>
      <c r="N27" s="273">
        <f>SUM(N20:N26)</f>
        <v>1917228700</v>
      </c>
      <c r="O27" s="273">
        <f>SUM(O20:O26)</f>
        <v>3159059800</v>
      </c>
      <c r="P27" s="254"/>
      <c r="Q27" s="254"/>
      <c r="R27" s="254"/>
      <c r="S27" s="254"/>
      <c r="T27" s="254"/>
      <c r="U27" s="254"/>
      <c r="V27" s="254"/>
      <c r="W27" s="254"/>
      <c r="X27" s="254"/>
      <c r="Y27" s="254"/>
      <c r="Z27" s="254"/>
    </row>
    <row r="28" spans="1:26" x14ac:dyDescent="0.35">
      <c r="A28" s="277" t="s">
        <v>109</v>
      </c>
      <c r="B28" s="254"/>
      <c r="C28" s="254"/>
      <c r="D28" s="254"/>
      <c r="E28" s="254"/>
      <c r="F28" s="254"/>
      <c r="G28" s="254"/>
      <c r="H28" s="254"/>
      <c r="I28" s="254"/>
      <c r="J28" s="269"/>
      <c r="K28" s="269"/>
      <c r="L28" s="254"/>
      <c r="M28" s="254"/>
      <c r="N28" s="254"/>
      <c r="O28" s="254"/>
      <c r="P28" s="254"/>
      <c r="Q28" s="254"/>
      <c r="R28" s="254"/>
      <c r="S28" s="254"/>
      <c r="T28" s="254"/>
      <c r="U28" s="254"/>
      <c r="V28" s="254"/>
      <c r="W28" s="254"/>
      <c r="X28" s="254"/>
      <c r="Y28" s="254"/>
      <c r="Z28" s="254"/>
    </row>
    <row r="29" spans="1:26" x14ac:dyDescent="0.35">
      <c r="A29" s="254"/>
      <c r="B29" s="254"/>
      <c r="C29" s="254"/>
      <c r="D29" s="280">
        <v>0.15</v>
      </c>
      <c r="E29" s="280"/>
      <c r="F29" s="254"/>
      <c r="G29" s="254"/>
      <c r="H29" s="254"/>
      <c r="I29" s="254"/>
      <c r="J29" s="254"/>
      <c r="K29" s="269"/>
      <c r="L29" s="254"/>
      <c r="M29" s="254"/>
      <c r="N29" s="254"/>
      <c r="O29" s="254"/>
      <c r="P29" s="254"/>
      <c r="Q29" s="254"/>
      <c r="R29" s="254"/>
      <c r="S29" s="254"/>
      <c r="T29" s="254"/>
      <c r="U29" s="254"/>
      <c r="V29" s="254"/>
      <c r="W29" s="254"/>
      <c r="X29" s="254"/>
      <c r="Y29" s="254"/>
      <c r="Z29" s="254"/>
    </row>
    <row r="30" spans="1:26" x14ac:dyDescent="0.35">
      <c r="A30" s="254"/>
      <c r="B30" s="254"/>
      <c r="C30" s="254"/>
      <c r="D30" s="254"/>
      <c r="E30" s="254"/>
      <c r="F30" s="254"/>
      <c r="G30" s="254"/>
      <c r="H30" s="254"/>
      <c r="I30" s="254"/>
      <c r="J30" s="254"/>
      <c r="K30" s="269"/>
      <c r="L30" s="254"/>
      <c r="M30" s="254"/>
      <c r="N30" s="254"/>
      <c r="O30" s="254"/>
      <c r="P30" s="254"/>
      <c r="Q30" s="254"/>
      <c r="R30" s="254"/>
      <c r="S30" s="254"/>
      <c r="T30" s="254"/>
      <c r="U30" s="254"/>
      <c r="V30" s="254"/>
      <c r="W30" s="254"/>
      <c r="X30" s="254"/>
      <c r="Y30" s="254"/>
      <c r="Z30" s="254"/>
    </row>
    <row r="31" spans="1:26" x14ac:dyDescent="0.35">
      <c r="A31" s="398" t="s">
        <v>16</v>
      </c>
      <c r="B31" s="398" t="s">
        <v>86</v>
      </c>
      <c r="C31" s="400" t="s">
        <v>87</v>
      </c>
      <c r="D31" s="391" t="s">
        <v>110</v>
      </c>
      <c r="E31" s="391"/>
      <c r="F31" s="391"/>
      <c r="G31" s="391"/>
      <c r="H31" s="391"/>
      <c r="I31" s="391"/>
      <c r="J31" s="391"/>
      <c r="K31" s="391"/>
      <c r="L31" s="269"/>
      <c r="M31" s="254"/>
      <c r="N31" s="254"/>
      <c r="O31" s="254"/>
      <c r="P31" s="254"/>
      <c r="Q31" s="254"/>
      <c r="R31" s="254"/>
      <c r="S31" s="254"/>
      <c r="T31" s="254"/>
      <c r="U31" s="254"/>
      <c r="V31" s="254"/>
      <c r="W31" s="254"/>
      <c r="X31" s="254"/>
      <c r="Y31" s="254"/>
      <c r="Z31" s="254"/>
    </row>
    <row r="32" spans="1:26" ht="55.9" customHeight="1" x14ac:dyDescent="0.35">
      <c r="A32" s="398"/>
      <c r="B32" s="398"/>
      <c r="C32" s="400"/>
      <c r="D32" s="396" t="s">
        <v>111</v>
      </c>
      <c r="E32" s="396"/>
      <c r="F32" s="396" t="s">
        <v>112</v>
      </c>
      <c r="G32" s="396"/>
      <c r="H32" s="396" t="s">
        <v>113</v>
      </c>
      <c r="I32" s="396"/>
      <c r="J32" s="396" t="s">
        <v>114</v>
      </c>
      <c r="K32" s="396"/>
      <c r="L32" s="269"/>
      <c r="M32" s="254"/>
      <c r="N32" s="254"/>
      <c r="O32" s="254"/>
      <c r="P32" s="254"/>
      <c r="Q32" s="254"/>
      <c r="R32" s="254"/>
      <c r="S32" s="254"/>
      <c r="T32" s="254"/>
      <c r="U32" s="254"/>
      <c r="V32" s="254"/>
      <c r="W32" s="254"/>
      <c r="X32" s="254"/>
      <c r="Y32" s="254"/>
      <c r="Z32" s="254"/>
    </row>
    <row r="33" spans="1:26" x14ac:dyDescent="0.35">
      <c r="A33" s="360"/>
      <c r="B33" s="360"/>
      <c r="C33" s="360" t="s">
        <v>90</v>
      </c>
      <c r="D33" s="394">
        <f>'2023 Update'!I40</f>
        <v>439.11706629779019</v>
      </c>
      <c r="E33" s="395"/>
      <c r="F33" s="394">
        <f>'2023 Update'!I41</f>
        <v>418.9622188442072</v>
      </c>
      <c r="G33" s="395"/>
      <c r="H33" s="394">
        <f>'2023 Update'!I42</f>
        <v>100.72215694797069</v>
      </c>
      <c r="I33" s="395"/>
      <c r="J33" s="392">
        <f>'2023 Update'!I43</f>
        <v>106.08728929306199</v>
      </c>
      <c r="K33" s="393"/>
      <c r="L33" s="269"/>
      <c r="M33" s="254"/>
      <c r="N33" s="254"/>
      <c r="O33" s="254"/>
      <c r="P33" s="254"/>
      <c r="Q33" s="254"/>
      <c r="R33" s="254"/>
      <c r="S33" s="254"/>
      <c r="T33" s="254"/>
      <c r="U33" s="254"/>
      <c r="V33" s="254"/>
      <c r="W33" s="254"/>
      <c r="X33" s="254"/>
      <c r="Y33" s="254"/>
      <c r="Z33" s="254"/>
    </row>
    <row r="34" spans="1:26" x14ac:dyDescent="0.35">
      <c r="A34" s="270" t="s">
        <v>91</v>
      </c>
      <c r="B34" s="270" t="s">
        <v>92</v>
      </c>
      <c r="C34" s="270" t="s">
        <v>115</v>
      </c>
      <c r="D34" s="275">
        <f t="shared" ref="D34:D40" si="9">ROUNDUP($J7*D$33/$J$6,0)</f>
        <v>0</v>
      </c>
      <c r="E34" s="283">
        <f>M34/10^6</f>
        <v>0</v>
      </c>
      <c r="F34" s="275">
        <f t="shared" ref="F34:F40" si="10">ROUNDUP($J7*F$33/$J$6,0)</f>
        <v>0</v>
      </c>
      <c r="G34" s="283">
        <f>N34/10^6</f>
        <v>0</v>
      </c>
      <c r="H34" s="275">
        <f t="shared" ref="H34:H40" si="11">ROUNDUP($J7*H$33/$J$6,0)</f>
        <v>0</v>
      </c>
      <c r="I34" s="283">
        <f>O34/10^6</f>
        <v>0</v>
      </c>
      <c r="J34" s="275">
        <f t="shared" ref="J34:J40" si="12">ROUNDUP($J7*J$33/$J$6,0)</f>
        <v>0</v>
      </c>
      <c r="K34" s="283">
        <f>P34/10^6</f>
        <v>0</v>
      </c>
      <c r="L34" s="273">
        <f>L20*(1+$D$29)</f>
        <v>4600000</v>
      </c>
      <c r="M34" s="274">
        <f>D34*$L34</f>
        <v>0</v>
      </c>
      <c r="N34" s="274">
        <f t="shared" ref="N34:N36" si="13">F34*$L34</f>
        <v>0</v>
      </c>
      <c r="O34" s="274">
        <f t="shared" ref="O34:O40" si="14">H34*$L34</f>
        <v>0</v>
      </c>
      <c r="P34" s="274">
        <f t="shared" ref="P34:P40" si="15">J34*$L34</f>
        <v>0</v>
      </c>
      <c r="Q34" s="254"/>
      <c r="R34" s="254"/>
      <c r="S34" s="254"/>
      <c r="T34" s="254"/>
      <c r="U34" s="254"/>
      <c r="V34" s="254"/>
      <c r="W34" s="254"/>
      <c r="X34" s="254"/>
      <c r="Y34" s="254"/>
      <c r="Z34" s="254"/>
    </row>
    <row r="35" spans="1:26" x14ac:dyDescent="0.35">
      <c r="A35" s="270" t="s">
        <v>94</v>
      </c>
      <c r="B35" s="270" t="s">
        <v>92</v>
      </c>
      <c r="C35" s="270" t="s">
        <v>116</v>
      </c>
      <c r="D35" s="275">
        <f t="shared" si="9"/>
        <v>0</v>
      </c>
      <c r="E35" s="283">
        <f t="shared" ref="E35:E40" si="16">M35/10^6</f>
        <v>0</v>
      </c>
      <c r="F35" s="275">
        <f t="shared" si="10"/>
        <v>0</v>
      </c>
      <c r="G35" s="283">
        <f t="shared" ref="G35:G40" si="17">N35/10^6</f>
        <v>0</v>
      </c>
      <c r="H35" s="275">
        <f t="shared" si="11"/>
        <v>0</v>
      </c>
      <c r="I35" s="283">
        <f t="shared" ref="I35:I40" si="18">O35/10^6</f>
        <v>0</v>
      </c>
      <c r="J35" s="275">
        <f t="shared" si="12"/>
        <v>0</v>
      </c>
      <c r="K35" s="283">
        <f t="shared" ref="K35:K40" si="19">P35/10^6</f>
        <v>0</v>
      </c>
      <c r="L35" s="273">
        <f t="shared" ref="L35:L40" si="20">L21*(1+$D$29)</f>
        <v>6899999.9999999991</v>
      </c>
      <c r="M35" s="274">
        <f t="shared" ref="M35:M40" si="21">D35*$L35</f>
        <v>0</v>
      </c>
      <c r="N35" s="274">
        <f t="shared" si="13"/>
        <v>0</v>
      </c>
      <c r="O35" s="274">
        <f t="shared" si="14"/>
        <v>0</v>
      </c>
      <c r="P35" s="274">
        <f t="shared" si="15"/>
        <v>0</v>
      </c>
      <c r="Q35" s="254"/>
      <c r="R35" s="254"/>
      <c r="S35" s="254"/>
      <c r="T35" s="254"/>
      <c r="U35" s="254"/>
      <c r="V35" s="254"/>
      <c r="W35" s="254"/>
      <c r="X35" s="254"/>
      <c r="Y35" s="254"/>
      <c r="Z35" s="254"/>
    </row>
    <row r="36" spans="1:26" x14ac:dyDescent="0.35">
      <c r="A36" s="270" t="s">
        <v>96</v>
      </c>
      <c r="B36" s="270" t="s">
        <v>97</v>
      </c>
      <c r="C36" s="270" t="s">
        <v>117</v>
      </c>
      <c r="D36" s="275">
        <f t="shared" si="9"/>
        <v>0</v>
      </c>
      <c r="E36" s="283">
        <f t="shared" si="16"/>
        <v>0</v>
      </c>
      <c r="F36" s="275">
        <f t="shared" si="10"/>
        <v>0</v>
      </c>
      <c r="G36" s="283">
        <f t="shared" si="17"/>
        <v>0</v>
      </c>
      <c r="H36" s="275">
        <f t="shared" si="11"/>
        <v>0</v>
      </c>
      <c r="I36" s="283">
        <f t="shared" si="18"/>
        <v>0</v>
      </c>
      <c r="J36" s="275">
        <f t="shared" si="12"/>
        <v>0</v>
      </c>
      <c r="K36" s="283">
        <f t="shared" si="19"/>
        <v>0</v>
      </c>
      <c r="L36" s="273">
        <f t="shared" si="20"/>
        <v>9200000</v>
      </c>
      <c r="M36" s="274">
        <f t="shared" si="21"/>
        <v>0</v>
      </c>
      <c r="N36" s="274">
        <f t="shared" si="13"/>
        <v>0</v>
      </c>
      <c r="O36" s="274">
        <f t="shared" si="14"/>
        <v>0</v>
      </c>
      <c r="P36" s="274">
        <f t="shared" si="15"/>
        <v>0</v>
      </c>
      <c r="Q36" s="254"/>
      <c r="R36" s="254"/>
      <c r="S36" s="254"/>
      <c r="T36" s="254"/>
      <c r="U36" s="254"/>
      <c r="V36" s="254"/>
      <c r="W36" s="254"/>
      <c r="X36" s="254"/>
      <c r="Y36" s="254"/>
      <c r="Z36" s="254"/>
    </row>
    <row r="37" spans="1:26" x14ac:dyDescent="0.35">
      <c r="A37" s="270" t="s">
        <v>99</v>
      </c>
      <c r="B37" s="270" t="s">
        <v>100</v>
      </c>
      <c r="C37" s="270" t="s">
        <v>118</v>
      </c>
      <c r="D37" s="275">
        <f t="shared" si="9"/>
        <v>0</v>
      </c>
      <c r="E37" s="283">
        <f t="shared" si="16"/>
        <v>0</v>
      </c>
      <c r="F37" s="275">
        <f t="shared" si="10"/>
        <v>0</v>
      </c>
      <c r="G37" s="283">
        <f t="shared" si="17"/>
        <v>0</v>
      </c>
      <c r="H37" s="275">
        <f t="shared" si="11"/>
        <v>0</v>
      </c>
      <c r="I37" s="283">
        <f t="shared" si="18"/>
        <v>0</v>
      </c>
      <c r="J37" s="275">
        <f t="shared" si="12"/>
        <v>0</v>
      </c>
      <c r="K37" s="283">
        <f t="shared" si="19"/>
        <v>0</v>
      </c>
      <c r="L37" s="273">
        <f t="shared" si="20"/>
        <v>17250000</v>
      </c>
      <c r="M37" s="274">
        <f t="shared" si="21"/>
        <v>0</v>
      </c>
      <c r="N37" s="274">
        <f>F37*$L37</f>
        <v>0</v>
      </c>
      <c r="O37" s="274">
        <f t="shared" si="14"/>
        <v>0</v>
      </c>
      <c r="P37" s="274">
        <f t="shared" si="15"/>
        <v>0</v>
      </c>
      <c r="Q37" s="254"/>
      <c r="R37" s="254"/>
      <c r="S37" s="254"/>
      <c r="T37" s="254"/>
      <c r="U37" s="254"/>
      <c r="V37" s="254"/>
      <c r="W37" s="254"/>
      <c r="X37" s="254"/>
      <c r="Y37" s="254"/>
      <c r="Z37" s="254"/>
    </row>
    <row r="38" spans="1:26" x14ac:dyDescent="0.35">
      <c r="A38" s="270" t="s">
        <v>102</v>
      </c>
      <c r="B38" s="270" t="s">
        <v>97</v>
      </c>
      <c r="C38" s="270" t="s">
        <v>119</v>
      </c>
      <c r="D38" s="275">
        <f t="shared" si="9"/>
        <v>10</v>
      </c>
      <c r="E38" s="283">
        <f t="shared" si="16"/>
        <v>120.74999999999999</v>
      </c>
      <c r="F38" s="275">
        <f t="shared" si="10"/>
        <v>10</v>
      </c>
      <c r="G38" s="283">
        <f t="shared" si="17"/>
        <v>120.74999999999999</v>
      </c>
      <c r="H38" s="275">
        <f t="shared" si="11"/>
        <v>3</v>
      </c>
      <c r="I38" s="283">
        <f t="shared" si="18"/>
        <v>36.224999999999994</v>
      </c>
      <c r="J38" s="275">
        <f t="shared" si="12"/>
        <v>3</v>
      </c>
      <c r="K38" s="283">
        <f t="shared" si="19"/>
        <v>36.224999999999994</v>
      </c>
      <c r="L38" s="273">
        <f t="shared" si="20"/>
        <v>12074999.999999998</v>
      </c>
      <c r="M38" s="274">
        <f t="shared" si="21"/>
        <v>120749999.99999999</v>
      </c>
      <c r="N38" s="274">
        <f>F38*$L38</f>
        <v>120749999.99999999</v>
      </c>
      <c r="O38" s="274">
        <f t="shared" si="14"/>
        <v>36224999.999999993</v>
      </c>
      <c r="P38" s="274">
        <f t="shared" si="15"/>
        <v>36224999.999999993</v>
      </c>
      <c r="Q38" s="254"/>
      <c r="R38" s="254"/>
      <c r="S38" s="254"/>
      <c r="T38" s="254"/>
      <c r="U38" s="254"/>
      <c r="V38" s="254"/>
      <c r="W38" s="254"/>
      <c r="X38" s="254"/>
      <c r="Y38" s="254"/>
      <c r="Z38" s="254"/>
    </row>
    <row r="39" spans="1:26" x14ac:dyDescent="0.35">
      <c r="A39" s="270" t="s">
        <v>104</v>
      </c>
      <c r="B39" s="270" t="s">
        <v>92</v>
      </c>
      <c r="C39" s="270" t="s">
        <v>120</v>
      </c>
      <c r="D39" s="275">
        <f t="shared" si="9"/>
        <v>42</v>
      </c>
      <c r="E39" s="283">
        <f t="shared" si="16"/>
        <v>96.6</v>
      </c>
      <c r="F39" s="275">
        <f t="shared" si="10"/>
        <v>40</v>
      </c>
      <c r="G39" s="283">
        <f t="shared" si="17"/>
        <v>92</v>
      </c>
      <c r="H39" s="275">
        <f t="shared" si="11"/>
        <v>10</v>
      </c>
      <c r="I39" s="283">
        <f t="shared" si="18"/>
        <v>23</v>
      </c>
      <c r="J39" s="275">
        <f t="shared" si="12"/>
        <v>10</v>
      </c>
      <c r="K39" s="283">
        <f t="shared" si="19"/>
        <v>23</v>
      </c>
      <c r="L39" s="273">
        <f t="shared" si="20"/>
        <v>2300000</v>
      </c>
      <c r="M39" s="274">
        <f t="shared" si="21"/>
        <v>96600000</v>
      </c>
      <c r="N39" s="274">
        <f t="shared" ref="N39:N40" si="22">F39*$L39</f>
        <v>92000000</v>
      </c>
      <c r="O39" s="274">
        <f t="shared" si="14"/>
        <v>23000000</v>
      </c>
      <c r="P39" s="274">
        <f t="shared" si="15"/>
        <v>23000000</v>
      </c>
      <c r="Q39" s="254"/>
      <c r="R39" s="254"/>
      <c r="S39" s="254"/>
      <c r="T39" s="254"/>
      <c r="U39" s="254"/>
      <c r="V39" s="254"/>
      <c r="W39" s="254"/>
      <c r="X39" s="254"/>
      <c r="Y39" s="254"/>
      <c r="Z39" s="254"/>
    </row>
    <row r="40" spans="1:26" ht="15" thickBot="1" x14ac:dyDescent="0.4">
      <c r="A40" s="270" t="s">
        <v>106</v>
      </c>
      <c r="B40" s="270" t="s">
        <v>97</v>
      </c>
      <c r="C40" s="278" t="s">
        <v>121</v>
      </c>
      <c r="D40" s="279">
        <f t="shared" si="9"/>
        <v>12271</v>
      </c>
      <c r="E40" s="283">
        <f t="shared" si="16"/>
        <v>221.55290500000001</v>
      </c>
      <c r="F40" s="279">
        <f t="shared" si="10"/>
        <v>11708</v>
      </c>
      <c r="G40" s="283">
        <f t="shared" si="17"/>
        <v>211.38793999999999</v>
      </c>
      <c r="H40" s="279">
        <f t="shared" si="11"/>
        <v>2815</v>
      </c>
      <c r="I40" s="283">
        <f t="shared" si="18"/>
        <v>50.824824999999997</v>
      </c>
      <c r="J40" s="279">
        <f t="shared" si="12"/>
        <v>2965</v>
      </c>
      <c r="K40" s="283">
        <f t="shared" si="19"/>
        <v>53.533074999999997</v>
      </c>
      <c r="L40" s="273">
        <f t="shared" si="20"/>
        <v>18055</v>
      </c>
      <c r="M40" s="274">
        <f t="shared" si="21"/>
        <v>221552905</v>
      </c>
      <c r="N40" s="274">
        <f t="shared" si="22"/>
        <v>211387940</v>
      </c>
      <c r="O40" s="274">
        <f t="shared" si="14"/>
        <v>50824825</v>
      </c>
      <c r="P40" s="274">
        <f t="shared" si="15"/>
        <v>53533075</v>
      </c>
      <c r="Q40" s="254"/>
      <c r="R40" s="254"/>
      <c r="S40" s="254"/>
      <c r="T40" s="254"/>
      <c r="U40" s="254"/>
      <c r="V40" s="254"/>
      <c r="W40" s="254"/>
      <c r="X40" s="254"/>
      <c r="Y40" s="254"/>
      <c r="Z40" s="254"/>
    </row>
    <row r="41" spans="1:26" ht="15" thickTop="1" x14ac:dyDescent="0.35">
      <c r="A41" s="269"/>
      <c r="B41" s="269"/>
      <c r="C41" s="383" t="s">
        <v>122</v>
      </c>
      <c r="D41" s="384"/>
      <c r="E41" s="356">
        <f>SUM(E34:E40)</f>
        <v>438.90290499999998</v>
      </c>
      <c r="F41" s="284"/>
      <c r="G41" s="356">
        <f>SUM(G34:G40)</f>
        <v>424.13793999999996</v>
      </c>
      <c r="H41" s="284"/>
      <c r="I41" s="356">
        <f>SUM(I34:I40)</f>
        <v>110.049825</v>
      </c>
      <c r="J41" s="284"/>
      <c r="K41" s="356">
        <f>SUM(K34:K40)</f>
        <v>112.75807499999999</v>
      </c>
      <c r="L41" s="273"/>
      <c r="M41" s="273">
        <f>SUM(M34:M40)</f>
        <v>438902905</v>
      </c>
      <c r="N41" s="273">
        <f>SUM(N34:N40)</f>
        <v>424137940</v>
      </c>
      <c r="O41" s="273">
        <f>SUM(O34:O40)</f>
        <v>110049825</v>
      </c>
      <c r="P41" s="273">
        <f>SUM(P34:P40)</f>
        <v>112758075</v>
      </c>
      <c r="Q41" s="254"/>
      <c r="R41" s="254"/>
      <c r="S41" s="254"/>
      <c r="T41" s="254"/>
      <c r="U41" s="254"/>
      <c r="V41" s="254"/>
      <c r="W41" s="254"/>
      <c r="X41" s="254"/>
      <c r="Y41" s="254"/>
      <c r="Z41" s="254"/>
    </row>
    <row r="42" spans="1:26" x14ac:dyDescent="0.35">
      <c r="A42" s="269"/>
      <c r="B42" s="269"/>
      <c r="C42" s="385" t="s">
        <v>123</v>
      </c>
      <c r="D42" s="386"/>
      <c r="E42" s="357">
        <f>E41*1.5</f>
        <v>658.35435749999999</v>
      </c>
      <c r="F42" s="350"/>
      <c r="G42" s="357">
        <f>G41*1.5</f>
        <v>636.20690999999988</v>
      </c>
      <c r="H42" s="350"/>
      <c r="I42" s="357">
        <f>I41*1.5</f>
        <v>165.0747375</v>
      </c>
      <c r="J42" s="350"/>
      <c r="K42" s="357">
        <f>K41*1.5</f>
        <v>169.1371125</v>
      </c>
      <c r="L42" s="269"/>
      <c r="M42" s="254"/>
      <c r="N42" s="254"/>
      <c r="O42" s="254"/>
      <c r="P42" s="254"/>
      <c r="Q42" s="254"/>
      <c r="R42" s="254"/>
      <c r="S42" s="254"/>
      <c r="T42" s="254"/>
      <c r="U42" s="254"/>
      <c r="V42" s="254"/>
      <c r="W42" s="254"/>
      <c r="X42" s="254"/>
      <c r="Y42" s="254"/>
      <c r="Z42" s="254"/>
    </row>
    <row r="43" spans="1:26" x14ac:dyDescent="0.35">
      <c r="A43" s="269"/>
      <c r="B43" s="269"/>
      <c r="C43" s="269"/>
      <c r="D43" s="349"/>
      <c r="E43" s="349"/>
      <c r="F43" s="349"/>
      <c r="G43" s="349"/>
      <c r="H43" s="349"/>
      <c r="I43" s="349"/>
      <c r="J43" s="349"/>
      <c r="K43" s="349"/>
      <c r="L43" s="269"/>
      <c r="M43" s="254"/>
      <c r="N43" s="254"/>
      <c r="O43" s="254"/>
      <c r="P43" s="254"/>
      <c r="Q43" s="254"/>
      <c r="R43" s="254"/>
      <c r="S43" s="254"/>
      <c r="T43" s="254"/>
      <c r="U43" s="254"/>
      <c r="V43" s="254"/>
      <c r="W43" s="254"/>
      <c r="X43" s="254"/>
      <c r="Y43" s="254"/>
      <c r="Z43" s="254"/>
    </row>
    <row r="44" spans="1:26" x14ac:dyDescent="0.35">
      <c r="A44" s="269"/>
      <c r="B44" s="269"/>
      <c r="C44" s="269"/>
      <c r="D44" s="269"/>
      <c r="E44" s="269"/>
      <c r="F44" s="269"/>
      <c r="G44" s="269"/>
      <c r="H44" s="269"/>
      <c r="I44" s="269"/>
      <c r="J44" s="269"/>
      <c r="K44" s="269"/>
      <c r="L44" s="269"/>
      <c r="M44" s="254"/>
      <c r="N44" s="254"/>
      <c r="O44" s="254"/>
      <c r="P44" s="254"/>
      <c r="Q44" s="254"/>
      <c r="R44" s="254"/>
      <c r="S44" s="254"/>
      <c r="T44" s="254"/>
      <c r="U44" s="254"/>
      <c r="V44" s="254"/>
      <c r="W44" s="254"/>
      <c r="X44" s="254"/>
      <c r="Y44" s="254"/>
      <c r="Z44" s="254"/>
    </row>
    <row r="45" spans="1:26" x14ac:dyDescent="0.35">
      <c r="A45" s="398" t="s">
        <v>16</v>
      </c>
      <c r="B45" s="398" t="s">
        <v>86</v>
      </c>
      <c r="C45" s="399" t="s">
        <v>87</v>
      </c>
      <c r="D45" s="391" t="s">
        <v>124</v>
      </c>
      <c r="E45" s="391"/>
      <c r="F45" s="391"/>
      <c r="G45" s="391"/>
      <c r="H45" s="391"/>
      <c r="I45" s="391"/>
      <c r="J45" s="391"/>
      <c r="K45" s="391"/>
      <c r="L45" s="269"/>
      <c r="M45" s="254"/>
      <c r="N45" s="254"/>
      <c r="O45" s="254"/>
      <c r="P45" s="254"/>
      <c r="Q45" s="254"/>
      <c r="R45" s="254"/>
      <c r="S45" s="254"/>
      <c r="T45" s="254"/>
      <c r="U45" s="254"/>
      <c r="V45" s="254"/>
      <c r="W45" s="254"/>
      <c r="X45" s="254"/>
      <c r="Y45" s="254"/>
      <c r="Z45" s="254"/>
    </row>
    <row r="46" spans="1:26" ht="55.9" customHeight="1" x14ac:dyDescent="0.35">
      <c r="A46" s="398"/>
      <c r="B46" s="398"/>
      <c r="C46" s="399"/>
      <c r="D46" s="396" t="s">
        <v>111</v>
      </c>
      <c r="E46" s="396"/>
      <c r="F46" s="396" t="s">
        <v>112</v>
      </c>
      <c r="G46" s="396"/>
      <c r="H46" s="396" t="s">
        <v>113</v>
      </c>
      <c r="I46" s="396"/>
      <c r="J46" s="396" t="s">
        <v>114</v>
      </c>
      <c r="K46" s="396"/>
      <c r="L46" s="269"/>
      <c r="M46" s="254"/>
      <c r="N46" s="254"/>
      <c r="O46" s="254"/>
      <c r="P46" s="254"/>
      <c r="Q46" s="254"/>
      <c r="R46" s="254"/>
      <c r="S46" s="254"/>
      <c r="T46" s="254"/>
      <c r="U46" s="254"/>
      <c r="V46" s="254"/>
      <c r="W46" s="254"/>
      <c r="X46" s="254"/>
      <c r="Y46" s="254"/>
      <c r="Z46" s="254"/>
    </row>
    <row r="47" spans="1:26" x14ac:dyDescent="0.35">
      <c r="A47" s="360"/>
      <c r="B47" s="360"/>
      <c r="C47" s="361" t="s">
        <v>90</v>
      </c>
      <c r="D47" s="390">
        <f>'2023 Update'!X40</f>
        <v>2012.5231077248436</v>
      </c>
      <c r="E47" s="390"/>
      <c r="F47" s="390">
        <f>'2023 Update'!X41</f>
        <v>1714.4401674147493</v>
      </c>
      <c r="G47" s="390"/>
      <c r="H47" s="390">
        <f>'2023 Update'!X42</f>
        <v>417.34628745019654</v>
      </c>
      <c r="I47" s="390"/>
      <c r="J47" s="390">
        <f>'2023 Update'!X43</f>
        <v>432.40864474044156</v>
      </c>
      <c r="K47" s="390"/>
      <c r="L47" s="254"/>
      <c r="M47" s="254"/>
      <c r="N47" s="254"/>
      <c r="O47" s="254"/>
      <c r="P47" s="254"/>
      <c r="Q47" s="254"/>
      <c r="R47" s="254"/>
      <c r="S47" s="254"/>
      <c r="T47" s="254"/>
      <c r="U47" s="254"/>
      <c r="V47" s="254"/>
      <c r="W47" s="254"/>
      <c r="X47" s="254"/>
      <c r="Y47" s="254"/>
      <c r="Z47" s="254"/>
    </row>
    <row r="48" spans="1:26" x14ac:dyDescent="0.35">
      <c r="A48" s="270" t="s">
        <v>91</v>
      </c>
      <c r="B48" s="270" t="s">
        <v>92</v>
      </c>
      <c r="C48" s="343" t="s">
        <v>115</v>
      </c>
      <c r="D48" s="344">
        <f t="shared" ref="D48:D54" si="23">ROUNDUP($J20*D$47/$J$19,0)</f>
        <v>135</v>
      </c>
      <c r="E48" s="345">
        <f>M48/10^6</f>
        <v>621</v>
      </c>
      <c r="F48" s="344">
        <f t="shared" ref="F48:F54" si="24">ROUNDUP($J20*F$47/$J$19,0)</f>
        <v>115</v>
      </c>
      <c r="G48" s="345">
        <f>N48/10^6</f>
        <v>529</v>
      </c>
      <c r="H48" s="344">
        <f t="shared" ref="H48:H54" si="25">ROUNDUP($J20*H$47/$J$19,0)</f>
        <v>28</v>
      </c>
      <c r="I48" s="345">
        <f>O48/10^6</f>
        <v>128.80000000000001</v>
      </c>
      <c r="J48" s="344">
        <f t="shared" ref="J48:J54" si="26">ROUNDUP($J20*J$47/$J$19,0)</f>
        <v>29</v>
      </c>
      <c r="K48" s="345">
        <f>P48/10^6</f>
        <v>133.4</v>
      </c>
      <c r="L48" s="273">
        <f t="shared" ref="L48:L54" si="27">L34</f>
        <v>4600000</v>
      </c>
      <c r="M48" s="276">
        <f>D48*$L48</f>
        <v>621000000</v>
      </c>
      <c r="N48" s="274">
        <f t="shared" ref="N48:N50" si="28">F48*$L48</f>
        <v>529000000</v>
      </c>
      <c r="O48" s="274">
        <f t="shared" ref="O48:O54" si="29">H48*$L48</f>
        <v>128800000</v>
      </c>
      <c r="P48" s="274">
        <f t="shared" ref="P48:P54" si="30">J48*$L48</f>
        <v>133400000</v>
      </c>
      <c r="Q48" s="254"/>
      <c r="R48" s="254"/>
      <c r="S48" s="254"/>
      <c r="T48" s="254"/>
      <c r="U48" s="254"/>
      <c r="V48" s="254"/>
      <c r="W48" s="254"/>
      <c r="X48" s="254"/>
      <c r="Y48" s="254"/>
      <c r="Z48" s="254"/>
    </row>
    <row r="49" spans="1:26" x14ac:dyDescent="0.35">
      <c r="A49" s="270" t="s">
        <v>94</v>
      </c>
      <c r="B49" s="270" t="s">
        <v>92</v>
      </c>
      <c r="C49" s="343" t="s">
        <v>116</v>
      </c>
      <c r="D49" s="344">
        <f t="shared" si="23"/>
        <v>4</v>
      </c>
      <c r="E49" s="345">
        <f t="shared" ref="E49:E54" si="31">M49/10^6</f>
        <v>27.599999999999998</v>
      </c>
      <c r="F49" s="344">
        <f t="shared" si="24"/>
        <v>4</v>
      </c>
      <c r="G49" s="345">
        <f t="shared" ref="G49:G54" si="32">N49/10^6</f>
        <v>27.599999999999998</v>
      </c>
      <c r="H49" s="344">
        <f t="shared" si="25"/>
        <v>1</v>
      </c>
      <c r="I49" s="345">
        <f t="shared" ref="I49:I54" si="33">O49/10^6</f>
        <v>6.8999999999999995</v>
      </c>
      <c r="J49" s="344">
        <f t="shared" si="26"/>
        <v>1</v>
      </c>
      <c r="K49" s="345">
        <f t="shared" ref="K49:K54" si="34">P49/10^6</f>
        <v>6.8999999999999995</v>
      </c>
      <c r="L49" s="273">
        <f t="shared" si="27"/>
        <v>6899999.9999999991</v>
      </c>
      <c r="M49" s="274">
        <f t="shared" ref="M49:M54" si="35">D49*$L49</f>
        <v>27599999.999999996</v>
      </c>
      <c r="N49" s="274">
        <f t="shared" si="28"/>
        <v>27599999.999999996</v>
      </c>
      <c r="O49" s="274">
        <f t="shared" si="29"/>
        <v>6899999.9999999991</v>
      </c>
      <c r="P49" s="274">
        <f t="shared" si="30"/>
        <v>6899999.9999999991</v>
      </c>
      <c r="Q49" s="254"/>
      <c r="R49" s="254"/>
      <c r="S49" s="254"/>
      <c r="T49" s="254"/>
      <c r="U49" s="254"/>
      <c r="V49" s="254"/>
      <c r="W49" s="254"/>
      <c r="X49" s="254"/>
      <c r="Y49" s="254"/>
      <c r="Z49" s="254"/>
    </row>
    <row r="50" spans="1:26" x14ac:dyDescent="0.35">
      <c r="A50" s="270" t="s">
        <v>96</v>
      </c>
      <c r="B50" s="270" t="s">
        <v>97</v>
      </c>
      <c r="C50" s="343" t="s">
        <v>117</v>
      </c>
      <c r="D50" s="344">
        <f t="shared" si="23"/>
        <v>7</v>
      </c>
      <c r="E50" s="345">
        <f t="shared" si="31"/>
        <v>64.400000000000006</v>
      </c>
      <c r="F50" s="344">
        <f t="shared" si="24"/>
        <v>6</v>
      </c>
      <c r="G50" s="345">
        <f t="shared" si="32"/>
        <v>55.2</v>
      </c>
      <c r="H50" s="344">
        <f t="shared" si="25"/>
        <v>2</v>
      </c>
      <c r="I50" s="345">
        <f t="shared" si="33"/>
        <v>18.399999999999999</v>
      </c>
      <c r="J50" s="344">
        <f t="shared" si="26"/>
        <v>2</v>
      </c>
      <c r="K50" s="345">
        <f t="shared" si="34"/>
        <v>18.399999999999999</v>
      </c>
      <c r="L50" s="273">
        <f t="shared" si="27"/>
        <v>9200000</v>
      </c>
      <c r="M50" s="274">
        <f t="shared" si="35"/>
        <v>64400000</v>
      </c>
      <c r="N50" s="274">
        <f t="shared" si="28"/>
        <v>55200000</v>
      </c>
      <c r="O50" s="274">
        <f t="shared" si="29"/>
        <v>18400000</v>
      </c>
      <c r="P50" s="274">
        <f t="shared" si="30"/>
        <v>18400000</v>
      </c>
      <c r="Q50" s="254"/>
      <c r="R50" s="254"/>
      <c r="S50" s="254"/>
      <c r="T50" s="254"/>
      <c r="U50" s="254"/>
      <c r="V50" s="254"/>
      <c r="W50" s="254"/>
      <c r="X50" s="254"/>
      <c r="Y50" s="254"/>
      <c r="Z50" s="254"/>
    </row>
    <row r="51" spans="1:26" x14ac:dyDescent="0.35">
      <c r="A51" s="270" t="s">
        <v>99</v>
      </c>
      <c r="B51" s="270" t="s">
        <v>100</v>
      </c>
      <c r="C51" s="343" t="s">
        <v>118</v>
      </c>
      <c r="D51" s="344">
        <f t="shared" si="23"/>
        <v>6</v>
      </c>
      <c r="E51" s="345">
        <f t="shared" si="31"/>
        <v>103.5</v>
      </c>
      <c r="F51" s="344">
        <f t="shared" si="24"/>
        <v>5</v>
      </c>
      <c r="G51" s="345">
        <f t="shared" si="32"/>
        <v>86.25</v>
      </c>
      <c r="H51" s="344">
        <f t="shared" si="25"/>
        <v>2</v>
      </c>
      <c r="I51" s="345">
        <f t="shared" si="33"/>
        <v>34.5</v>
      </c>
      <c r="J51" s="344">
        <f t="shared" si="26"/>
        <v>2</v>
      </c>
      <c r="K51" s="345">
        <f t="shared" si="34"/>
        <v>34.5</v>
      </c>
      <c r="L51" s="273">
        <f t="shared" si="27"/>
        <v>17250000</v>
      </c>
      <c r="M51" s="274">
        <f t="shared" si="35"/>
        <v>103500000</v>
      </c>
      <c r="N51" s="274">
        <f>F51*$L51</f>
        <v>86250000</v>
      </c>
      <c r="O51" s="274">
        <f t="shared" si="29"/>
        <v>34500000</v>
      </c>
      <c r="P51" s="274">
        <f t="shared" si="30"/>
        <v>34500000</v>
      </c>
      <c r="Q51" s="254"/>
      <c r="R51" s="254"/>
      <c r="S51" s="254"/>
      <c r="T51" s="254"/>
      <c r="U51" s="254"/>
      <c r="V51" s="254"/>
      <c r="W51" s="254"/>
      <c r="X51" s="254"/>
      <c r="Y51" s="254"/>
      <c r="Z51" s="254"/>
    </row>
    <row r="52" spans="1:26" x14ac:dyDescent="0.35">
      <c r="A52" s="270" t="s">
        <v>102</v>
      </c>
      <c r="B52" s="270" t="s">
        <v>97</v>
      </c>
      <c r="C52" s="343" t="s">
        <v>119</v>
      </c>
      <c r="D52" s="344">
        <f t="shared" si="23"/>
        <v>72</v>
      </c>
      <c r="E52" s="345">
        <f t="shared" si="31"/>
        <v>869.39999999999986</v>
      </c>
      <c r="F52" s="344">
        <f t="shared" si="24"/>
        <v>61</v>
      </c>
      <c r="G52" s="345">
        <f t="shared" si="32"/>
        <v>736.57499999999993</v>
      </c>
      <c r="H52" s="344">
        <f t="shared" si="25"/>
        <v>15</v>
      </c>
      <c r="I52" s="345">
        <f t="shared" si="33"/>
        <v>181.12499999999997</v>
      </c>
      <c r="J52" s="344">
        <f t="shared" si="26"/>
        <v>16</v>
      </c>
      <c r="K52" s="345">
        <f t="shared" si="34"/>
        <v>193.19999999999996</v>
      </c>
      <c r="L52" s="273">
        <f t="shared" si="27"/>
        <v>12074999.999999998</v>
      </c>
      <c r="M52" s="274">
        <f t="shared" si="35"/>
        <v>869399999.99999988</v>
      </c>
      <c r="N52" s="274">
        <f>F52*$L52</f>
        <v>736574999.99999988</v>
      </c>
      <c r="O52" s="274">
        <f t="shared" si="29"/>
        <v>181124999.99999997</v>
      </c>
      <c r="P52" s="274">
        <f t="shared" si="30"/>
        <v>193199999.99999997</v>
      </c>
      <c r="Q52" s="254"/>
      <c r="R52" s="254"/>
      <c r="S52" s="254"/>
      <c r="T52" s="254"/>
      <c r="U52" s="254"/>
      <c r="V52" s="254"/>
      <c r="W52" s="254"/>
      <c r="X52" s="254"/>
      <c r="Y52" s="254"/>
      <c r="Z52" s="254"/>
    </row>
    <row r="53" spans="1:26" x14ac:dyDescent="0.35">
      <c r="A53" s="270" t="s">
        <v>104</v>
      </c>
      <c r="B53" s="270" t="s">
        <v>92</v>
      </c>
      <c r="C53" s="343" t="s">
        <v>120</v>
      </c>
      <c r="D53" s="344">
        <f t="shared" si="23"/>
        <v>91</v>
      </c>
      <c r="E53" s="345">
        <f t="shared" si="31"/>
        <v>209.3</v>
      </c>
      <c r="F53" s="344">
        <f t="shared" si="24"/>
        <v>78</v>
      </c>
      <c r="G53" s="345">
        <f t="shared" si="32"/>
        <v>179.4</v>
      </c>
      <c r="H53" s="344">
        <f t="shared" si="25"/>
        <v>19</v>
      </c>
      <c r="I53" s="345">
        <f t="shared" si="33"/>
        <v>43.7</v>
      </c>
      <c r="J53" s="344">
        <f t="shared" si="26"/>
        <v>20</v>
      </c>
      <c r="K53" s="345">
        <f t="shared" si="34"/>
        <v>46</v>
      </c>
      <c r="L53" s="273">
        <f t="shared" si="27"/>
        <v>2300000</v>
      </c>
      <c r="M53" s="274">
        <f t="shared" si="35"/>
        <v>209300000</v>
      </c>
      <c r="N53" s="274">
        <f t="shared" ref="N53:N54" si="36">F53*$L53</f>
        <v>179400000</v>
      </c>
      <c r="O53" s="274">
        <f t="shared" si="29"/>
        <v>43700000</v>
      </c>
      <c r="P53" s="274">
        <f t="shared" si="30"/>
        <v>46000000</v>
      </c>
      <c r="Q53" s="254"/>
      <c r="R53" s="254"/>
      <c r="S53" s="254"/>
      <c r="T53" s="254"/>
      <c r="U53" s="254"/>
      <c r="V53" s="254"/>
      <c r="W53" s="254"/>
      <c r="X53" s="254"/>
      <c r="Y53" s="254"/>
      <c r="Z53" s="254"/>
    </row>
    <row r="54" spans="1:26" ht="15" thickBot="1" x14ac:dyDescent="0.4">
      <c r="A54" s="270" t="s">
        <v>106</v>
      </c>
      <c r="B54" s="270" t="s">
        <v>97</v>
      </c>
      <c r="C54" s="346" t="s">
        <v>121</v>
      </c>
      <c r="D54" s="362">
        <f t="shared" si="23"/>
        <v>52039</v>
      </c>
      <c r="E54" s="348">
        <f t="shared" si="31"/>
        <v>939.56414500000005</v>
      </c>
      <c r="F54" s="347">
        <f t="shared" si="24"/>
        <v>44331</v>
      </c>
      <c r="G54" s="348">
        <f t="shared" si="32"/>
        <v>800.39620500000001</v>
      </c>
      <c r="H54" s="347">
        <f t="shared" si="25"/>
        <v>10792</v>
      </c>
      <c r="I54" s="348">
        <f t="shared" si="33"/>
        <v>194.84956</v>
      </c>
      <c r="J54" s="347">
        <f t="shared" si="26"/>
        <v>11181</v>
      </c>
      <c r="K54" s="348">
        <f t="shared" si="34"/>
        <v>201.87295499999999</v>
      </c>
      <c r="L54" s="273">
        <f t="shared" si="27"/>
        <v>18055</v>
      </c>
      <c r="M54" s="274">
        <f t="shared" si="35"/>
        <v>939564145</v>
      </c>
      <c r="N54" s="274">
        <f t="shared" si="36"/>
        <v>800396205</v>
      </c>
      <c r="O54" s="274">
        <f t="shared" si="29"/>
        <v>194849560</v>
      </c>
      <c r="P54" s="274">
        <f t="shared" si="30"/>
        <v>201872955</v>
      </c>
      <c r="Q54" s="254"/>
      <c r="R54" s="254"/>
      <c r="S54" s="254"/>
      <c r="T54" s="254"/>
      <c r="U54" s="254"/>
      <c r="V54" s="254"/>
      <c r="W54" s="254"/>
      <c r="X54" s="254"/>
      <c r="Y54" s="254"/>
      <c r="Z54" s="254"/>
    </row>
    <row r="55" spans="1:26" ht="15" thickTop="1" x14ac:dyDescent="0.35">
      <c r="A55" s="254"/>
      <c r="B55" s="254"/>
      <c r="C55" s="383" t="s">
        <v>122</v>
      </c>
      <c r="D55" s="384"/>
      <c r="E55" s="356">
        <f>SUM(E48:E54)</f>
        <v>2834.7641450000001</v>
      </c>
      <c r="F55" s="345"/>
      <c r="G55" s="356">
        <f>SUM(G48:G54)</f>
        <v>2414.4212050000001</v>
      </c>
      <c r="H55" s="345"/>
      <c r="I55" s="356">
        <f>SUM(I48:I54)</f>
        <v>608.27456000000006</v>
      </c>
      <c r="J55" s="345"/>
      <c r="K55" s="356">
        <f>SUM(K48:K54)</f>
        <v>634.27295499999991</v>
      </c>
      <c r="L55" s="273"/>
      <c r="M55" s="273">
        <f>SUM(M48:M54)</f>
        <v>2834764145</v>
      </c>
      <c r="N55" s="273">
        <f>SUM(N48:N54)</f>
        <v>2414421205</v>
      </c>
      <c r="O55" s="273">
        <f>SUM(O48:O54)</f>
        <v>608274560</v>
      </c>
      <c r="P55" s="273">
        <f>SUM(P48:P54)</f>
        <v>634272955</v>
      </c>
      <c r="Q55" s="254"/>
      <c r="R55" s="254"/>
      <c r="S55" s="254"/>
      <c r="T55" s="254"/>
      <c r="U55" s="254"/>
      <c r="V55" s="254"/>
      <c r="W55" s="254"/>
      <c r="X55" s="254"/>
      <c r="Y55" s="254"/>
      <c r="Z55" s="254"/>
    </row>
    <row r="56" spans="1:26" x14ac:dyDescent="0.35">
      <c r="A56" s="254"/>
      <c r="B56" s="254"/>
      <c r="C56" s="385" t="s">
        <v>123</v>
      </c>
      <c r="D56" s="386"/>
      <c r="E56" s="357">
        <f>E55*1.5</f>
        <v>4252.1462174999997</v>
      </c>
      <c r="F56" s="357"/>
      <c r="G56" s="357">
        <f>G55*1.5</f>
        <v>3621.6318074999999</v>
      </c>
      <c r="H56" s="357"/>
      <c r="I56" s="357">
        <f>I55*1.5</f>
        <v>912.4118400000001</v>
      </c>
      <c r="J56" s="357"/>
      <c r="K56" s="357">
        <f>K55*1.5</f>
        <v>951.40943249999987</v>
      </c>
      <c r="L56" s="254"/>
      <c r="M56" s="254"/>
      <c r="N56" s="254"/>
      <c r="O56" s="254"/>
      <c r="P56" s="254"/>
      <c r="Q56" s="254"/>
      <c r="R56" s="254"/>
      <c r="S56" s="254"/>
      <c r="T56" s="254"/>
      <c r="U56" s="254"/>
      <c r="V56" s="254"/>
      <c r="W56" s="254"/>
      <c r="X56" s="254"/>
      <c r="Y56" s="254"/>
      <c r="Z56" s="254"/>
    </row>
    <row r="57" spans="1:26" x14ac:dyDescent="0.35">
      <c r="A57" s="254"/>
      <c r="B57" s="254"/>
      <c r="C57" s="254"/>
      <c r="D57" s="254"/>
      <c r="E57" s="342"/>
      <c r="F57" s="254"/>
      <c r="G57" s="342"/>
      <c r="H57" s="254"/>
      <c r="I57" s="342"/>
      <c r="J57" s="254"/>
      <c r="K57" s="342"/>
      <c r="L57" s="254"/>
      <c r="M57" s="254"/>
      <c r="N57" s="254"/>
      <c r="O57" s="254"/>
      <c r="P57" s="254"/>
      <c r="Q57" s="254"/>
      <c r="R57" s="254"/>
      <c r="S57" s="254"/>
      <c r="T57" s="254"/>
      <c r="U57" s="254"/>
      <c r="V57" s="254"/>
      <c r="W57" s="254"/>
      <c r="X57" s="254"/>
      <c r="Y57" s="254"/>
      <c r="Z57" s="254"/>
    </row>
    <row r="58" spans="1:26" x14ac:dyDescent="0.35">
      <c r="A58" s="254"/>
      <c r="B58" s="254"/>
      <c r="C58" s="254"/>
      <c r="D58" s="254"/>
      <c r="E58" s="254"/>
      <c r="F58" s="254"/>
      <c r="G58" s="254"/>
      <c r="H58" s="254"/>
      <c r="I58" s="254"/>
      <c r="J58" s="254"/>
      <c r="K58" s="269"/>
      <c r="L58" s="254"/>
      <c r="M58" s="254"/>
      <c r="N58" s="254"/>
      <c r="O58" s="254"/>
      <c r="P58" s="254"/>
      <c r="Q58" s="254"/>
      <c r="R58" s="254"/>
      <c r="S58" s="254"/>
      <c r="T58" s="254"/>
      <c r="U58" s="254"/>
      <c r="V58" s="254"/>
      <c r="W58" s="254"/>
      <c r="X58" s="254"/>
      <c r="Y58" s="254"/>
      <c r="Z58" s="254"/>
    </row>
    <row r="59" spans="1:26" x14ac:dyDescent="0.35">
      <c r="A59" s="254"/>
      <c r="B59" s="254"/>
      <c r="C59" s="254"/>
      <c r="D59" s="254"/>
      <c r="E59" s="342"/>
      <c r="F59" s="254"/>
      <c r="G59" s="342"/>
      <c r="H59" s="254"/>
      <c r="I59" s="342"/>
      <c r="J59" s="254"/>
      <c r="K59" s="269"/>
      <c r="L59" s="254"/>
      <c r="M59" s="254"/>
      <c r="N59" s="254"/>
      <c r="O59" s="254"/>
      <c r="P59" s="254"/>
      <c r="Q59" s="254"/>
      <c r="R59" s="254"/>
      <c r="S59" s="254"/>
      <c r="T59" s="254"/>
      <c r="U59" s="254"/>
      <c r="V59" s="254"/>
      <c r="W59" s="254"/>
      <c r="X59" s="254"/>
      <c r="Y59" s="254"/>
      <c r="Z59" s="254"/>
    </row>
    <row r="60" spans="1:26" x14ac:dyDescent="0.35">
      <c r="A60" s="254"/>
      <c r="B60" s="254"/>
      <c r="C60" s="254"/>
      <c r="D60" s="254"/>
      <c r="E60" s="254"/>
      <c r="F60" s="254"/>
      <c r="G60" s="254"/>
      <c r="H60" s="254"/>
      <c r="I60" s="254"/>
      <c r="J60" s="254"/>
      <c r="K60" s="269"/>
      <c r="L60" s="254"/>
      <c r="M60" s="254"/>
      <c r="N60" s="254"/>
      <c r="O60" s="254"/>
      <c r="P60" s="254"/>
      <c r="Q60" s="254"/>
      <c r="R60" s="254"/>
      <c r="S60" s="254"/>
      <c r="T60" s="254"/>
      <c r="U60" s="254"/>
      <c r="V60" s="254"/>
      <c r="W60" s="254"/>
      <c r="X60" s="254"/>
      <c r="Y60" s="254"/>
      <c r="Z60" s="254"/>
    </row>
    <row r="61" spans="1:26" x14ac:dyDescent="0.35">
      <c r="A61" s="254"/>
      <c r="B61" s="254"/>
      <c r="C61" s="254"/>
      <c r="D61" s="254"/>
      <c r="E61" s="254"/>
      <c r="F61" s="254"/>
      <c r="G61" s="254"/>
      <c r="H61" s="254"/>
      <c r="I61" s="254"/>
      <c r="J61" s="254"/>
      <c r="K61" s="269"/>
      <c r="L61" s="254"/>
      <c r="M61" s="254"/>
      <c r="N61" s="254"/>
      <c r="O61" s="254"/>
      <c r="P61" s="254"/>
      <c r="Q61" s="254"/>
      <c r="R61" s="254"/>
      <c r="S61" s="254"/>
      <c r="T61" s="254"/>
      <c r="U61" s="254"/>
      <c r="V61" s="254"/>
      <c r="W61" s="254"/>
      <c r="X61" s="254"/>
      <c r="Y61" s="254"/>
      <c r="Z61" s="254"/>
    </row>
    <row r="62" spans="1:26" x14ac:dyDescent="0.35">
      <c r="A62" s="254"/>
      <c r="B62" s="254"/>
      <c r="C62" s="254"/>
      <c r="D62" s="254"/>
      <c r="E62" s="254"/>
      <c r="F62" s="254"/>
      <c r="G62" s="254"/>
      <c r="H62" s="254"/>
      <c r="I62" s="254"/>
      <c r="J62" s="254"/>
      <c r="K62" s="269"/>
      <c r="L62" s="254"/>
      <c r="M62" s="254"/>
      <c r="N62" s="254"/>
      <c r="O62" s="254"/>
      <c r="P62" s="254"/>
      <c r="Q62" s="254"/>
      <c r="R62" s="254"/>
      <c r="S62" s="254"/>
      <c r="T62" s="254"/>
      <c r="U62" s="254"/>
      <c r="V62" s="254"/>
      <c r="W62" s="254"/>
      <c r="X62" s="254"/>
      <c r="Y62" s="254"/>
      <c r="Z62" s="254"/>
    </row>
    <row r="63" spans="1:26" x14ac:dyDescent="0.35">
      <c r="A63" s="254"/>
      <c r="B63" s="254"/>
      <c r="C63" s="254"/>
      <c r="D63" s="254"/>
      <c r="E63" s="254"/>
      <c r="F63" s="254"/>
      <c r="G63" s="254"/>
      <c r="H63" s="254"/>
      <c r="I63" s="254"/>
      <c r="J63" s="254"/>
      <c r="K63" s="269"/>
      <c r="L63" s="254"/>
      <c r="M63" s="254"/>
      <c r="N63" s="254"/>
      <c r="O63" s="254"/>
      <c r="P63" s="254"/>
      <c r="Q63" s="254"/>
      <c r="R63" s="254"/>
      <c r="S63" s="254"/>
      <c r="T63" s="254"/>
      <c r="U63" s="254"/>
      <c r="V63" s="254"/>
      <c r="W63" s="254"/>
      <c r="X63" s="254"/>
      <c r="Y63" s="254"/>
      <c r="Z63" s="254"/>
    </row>
    <row r="64" spans="1:26" x14ac:dyDescent="0.35">
      <c r="A64" s="254"/>
      <c r="B64" s="254"/>
      <c r="C64" s="254"/>
      <c r="D64" s="254"/>
      <c r="E64" s="254"/>
      <c r="F64" s="254"/>
      <c r="G64" s="254"/>
      <c r="H64" s="254"/>
      <c r="I64" s="254"/>
      <c r="J64" s="254"/>
      <c r="K64" s="269"/>
      <c r="L64" s="254"/>
      <c r="M64" s="254"/>
      <c r="N64" s="254"/>
      <c r="O64" s="254"/>
      <c r="P64" s="254"/>
      <c r="Q64" s="254"/>
      <c r="R64" s="254"/>
      <c r="S64" s="254"/>
      <c r="T64" s="254"/>
      <c r="U64" s="254"/>
      <c r="V64" s="254"/>
      <c r="W64" s="254"/>
      <c r="X64" s="254"/>
      <c r="Y64" s="254"/>
      <c r="Z64" s="254"/>
    </row>
    <row r="65" spans="1:26" x14ac:dyDescent="0.35">
      <c r="A65" s="254"/>
      <c r="B65" s="254"/>
      <c r="C65" s="254"/>
      <c r="D65" s="254"/>
      <c r="E65" s="254"/>
      <c r="F65" s="254"/>
      <c r="G65" s="254"/>
      <c r="H65" s="254"/>
      <c r="I65" s="254"/>
      <c r="J65" s="254"/>
      <c r="K65" s="269"/>
      <c r="L65" s="254"/>
      <c r="M65" s="254"/>
      <c r="N65" s="254"/>
      <c r="O65" s="254"/>
      <c r="P65" s="254"/>
      <c r="Q65" s="254"/>
      <c r="R65" s="254"/>
      <c r="S65" s="254"/>
      <c r="T65" s="254"/>
      <c r="U65" s="254"/>
      <c r="V65" s="254"/>
      <c r="W65" s="254"/>
      <c r="X65" s="254"/>
      <c r="Y65" s="254"/>
      <c r="Z65" s="254"/>
    </row>
    <row r="66" spans="1:26" x14ac:dyDescent="0.35">
      <c r="A66" s="254"/>
      <c r="B66" s="254"/>
      <c r="C66" s="254"/>
      <c r="D66" s="254"/>
      <c r="E66" s="254"/>
      <c r="F66" s="254"/>
      <c r="G66" s="254"/>
      <c r="H66" s="254"/>
      <c r="I66" s="254"/>
      <c r="J66" s="254"/>
      <c r="K66" s="269"/>
      <c r="L66" s="254"/>
      <c r="M66" s="254"/>
      <c r="N66" s="254"/>
      <c r="O66" s="254"/>
      <c r="P66" s="254"/>
      <c r="Q66" s="254"/>
      <c r="R66" s="254"/>
      <c r="S66" s="254"/>
      <c r="T66" s="254"/>
      <c r="U66" s="254"/>
      <c r="V66" s="254"/>
      <c r="W66" s="254"/>
      <c r="X66" s="254"/>
      <c r="Y66" s="254"/>
      <c r="Z66" s="254"/>
    </row>
    <row r="67" spans="1:26" x14ac:dyDescent="0.35">
      <c r="A67" s="254"/>
      <c r="B67" s="254"/>
      <c r="C67" s="254"/>
      <c r="D67" s="254"/>
      <c r="E67" s="254"/>
      <c r="F67" s="254"/>
      <c r="G67" s="254"/>
      <c r="H67" s="254"/>
      <c r="I67" s="254"/>
      <c r="J67" s="254"/>
      <c r="K67" s="269"/>
      <c r="L67" s="254"/>
      <c r="M67" s="254"/>
      <c r="N67" s="254"/>
      <c r="O67" s="254"/>
      <c r="P67" s="254"/>
      <c r="Q67" s="254"/>
      <c r="R67" s="254"/>
      <c r="S67" s="254"/>
      <c r="T67" s="254"/>
      <c r="U67" s="254"/>
      <c r="V67" s="254"/>
      <c r="W67" s="254"/>
      <c r="X67" s="254"/>
      <c r="Y67" s="254"/>
      <c r="Z67" s="254"/>
    </row>
    <row r="68" spans="1:26" x14ac:dyDescent="0.35">
      <c r="A68" s="254"/>
      <c r="B68" s="254"/>
      <c r="C68" s="254"/>
      <c r="D68" s="254"/>
      <c r="E68" s="254"/>
      <c r="F68" s="254"/>
      <c r="G68" s="254"/>
      <c r="H68" s="254"/>
      <c r="I68" s="254"/>
      <c r="J68" s="254"/>
      <c r="K68" s="269"/>
      <c r="L68" s="254"/>
      <c r="M68" s="254"/>
      <c r="N68" s="254"/>
      <c r="O68" s="254"/>
      <c r="P68" s="254"/>
      <c r="Q68" s="254"/>
      <c r="R68" s="254"/>
      <c r="S68" s="254"/>
      <c r="T68" s="254"/>
      <c r="U68" s="254"/>
      <c r="V68" s="254"/>
      <c r="W68" s="254"/>
      <c r="X68" s="254"/>
      <c r="Y68" s="254"/>
      <c r="Z68" s="254"/>
    </row>
    <row r="69" spans="1:26" x14ac:dyDescent="0.35">
      <c r="A69" s="254"/>
      <c r="B69" s="254"/>
      <c r="C69" s="254"/>
      <c r="D69" s="254"/>
      <c r="E69" s="254"/>
      <c r="F69" s="254"/>
      <c r="G69" s="254"/>
      <c r="H69" s="254"/>
      <c r="I69" s="254"/>
      <c r="J69" s="254"/>
      <c r="K69" s="269"/>
      <c r="L69" s="254"/>
      <c r="M69" s="254"/>
      <c r="N69" s="254"/>
      <c r="O69" s="254"/>
      <c r="P69" s="254"/>
      <c r="Q69" s="254"/>
      <c r="R69" s="254"/>
      <c r="S69" s="254"/>
      <c r="T69" s="254"/>
      <c r="U69" s="254"/>
      <c r="V69" s="254"/>
      <c r="W69" s="254"/>
      <c r="X69" s="254"/>
      <c r="Y69" s="254"/>
      <c r="Z69" s="254"/>
    </row>
    <row r="70" spans="1:26" x14ac:dyDescent="0.35">
      <c r="A70" s="254"/>
      <c r="B70" s="254"/>
      <c r="C70" s="254"/>
      <c r="D70" s="254"/>
      <c r="E70" s="254"/>
      <c r="F70" s="254"/>
      <c r="G70" s="254"/>
      <c r="H70" s="254"/>
      <c r="I70" s="254"/>
      <c r="J70" s="254"/>
      <c r="K70" s="269"/>
      <c r="L70" s="254"/>
      <c r="M70" s="254"/>
      <c r="N70" s="254"/>
      <c r="O70" s="254"/>
      <c r="P70" s="254"/>
      <c r="Q70" s="254"/>
      <c r="R70" s="254"/>
      <c r="S70" s="254"/>
      <c r="T70" s="254"/>
      <c r="U70" s="254"/>
      <c r="V70" s="254"/>
      <c r="W70" s="254"/>
      <c r="X70" s="254"/>
      <c r="Y70" s="254"/>
      <c r="Z70" s="254"/>
    </row>
    <row r="71" spans="1:26" x14ac:dyDescent="0.35">
      <c r="A71" s="254"/>
      <c r="B71" s="254"/>
      <c r="C71" s="254"/>
      <c r="D71" s="254"/>
      <c r="E71" s="254"/>
      <c r="F71" s="254"/>
      <c r="G71" s="254"/>
      <c r="H71" s="254"/>
      <c r="I71" s="254"/>
      <c r="J71" s="254"/>
      <c r="K71" s="269"/>
      <c r="L71" s="254"/>
      <c r="M71" s="254"/>
      <c r="N71" s="254"/>
      <c r="O71" s="254"/>
      <c r="P71" s="254"/>
      <c r="Q71" s="254"/>
      <c r="R71" s="254"/>
      <c r="S71" s="254"/>
      <c r="T71" s="254"/>
      <c r="U71" s="254"/>
      <c r="V71" s="254"/>
      <c r="W71" s="254"/>
      <c r="X71" s="254"/>
      <c r="Y71" s="254"/>
      <c r="Z71" s="254"/>
    </row>
    <row r="72" spans="1:26" x14ac:dyDescent="0.35">
      <c r="A72" s="254"/>
      <c r="B72" s="254"/>
      <c r="C72" s="254"/>
      <c r="D72" s="254"/>
      <c r="E72" s="254"/>
      <c r="F72" s="254"/>
      <c r="G72" s="254"/>
      <c r="H72" s="254"/>
      <c r="I72" s="254"/>
      <c r="J72" s="254"/>
      <c r="K72" s="269"/>
      <c r="L72" s="254"/>
      <c r="M72" s="254"/>
      <c r="N72" s="254"/>
      <c r="O72" s="254"/>
      <c r="P72" s="254"/>
      <c r="Q72" s="254"/>
      <c r="R72" s="254"/>
      <c r="S72" s="254"/>
      <c r="T72" s="254"/>
      <c r="U72" s="254"/>
      <c r="V72" s="254"/>
      <c r="W72" s="254"/>
      <c r="X72" s="254"/>
      <c r="Y72" s="254"/>
      <c r="Z72" s="254"/>
    </row>
    <row r="73" spans="1:26" x14ac:dyDescent="0.35">
      <c r="A73" s="254"/>
      <c r="B73" s="254"/>
      <c r="C73" s="254"/>
      <c r="D73" s="254"/>
      <c r="E73" s="254"/>
      <c r="F73" s="254"/>
      <c r="G73" s="254"/>
      <c r="H73" s="254"/>
      <c r="I73" s="254"/>
      <c r="J73" s="254"/>
      <c r="K73" s="269"/>
      <c r="L73" s="254"/>
      <c r="M73" s="254"/>
      <c r="N73" s="254"/>
      <c r="O73" s="254"/>
      <c r="P73" s="254"/>
      <c r="Q73" s="254"/>
      <c r="R73" s="254"/>
      <c r="S73" s="254"/>
      <c r="T73" s="254"/>
      <c r="U73" s="254"/>
      <c r="V73" s="254"/>
      <c r="W73" s="254"/>
      <c r="X73" s="254"/>
      <c r="Y73" s="254"/>
      <c r="Z73" s="254"/>
    </row>
    <row r="74" spans="1:26" x14ac:dyDescent="0.35">
      <c r="A74" s="254"/>
      <c r="B74" s="254"/>
      <c r="C74" s="254"/>
      <c r="D74" s="254"/>
      <c r="E74" s="254"/>
      <c r="F74" s="254"/>
      <c r="G74" s="254"/>
      <c r="H74" s="254"/>
      <c r="I74" s="254"/>
      <c r="J74" s="254"/>
      <c r="K74" s="269"/>
      <c r="L74" s="254"/>
      <c r="M74" s="254"/>
      <c r="N74" s="254"/>
      <c r="O74" s="254"/>
      <c r="P74" s="254"/>
      <c r="Q74" s="254"/>
      <c r="R74" s="254"/>
      <c r="S74" s="254"/>
      <c r="T74" s="254"/>
      <c r="U74" s="254"/>
      <c r="V74" s="254"/>
      <c r="W74" s="254"/>
      <c r="X74" s="254"/>
      <c r="Y74" s="254"/>
      <c r="Z74" s="254"/>
    </row>
    <row r="75" spans="1:26" x14ac:dyDescent="0.35">
      <c r="A75" s="254"/>
      <c r="B75" s="254"/>
      <c r="C75" s="254"/>
      <c r="D75" s="254"/>
      <c r="E75" s="254"/>
      <c r="F75" s="254"/>
      <c r="G75" s="254"/>
      <c r="H75" s="254"/>
      <c r="I75" s="254"/>
      <c r="J75" s="254"/>
      <c r="K75" s="269"/>
      <c r="L75" s="254"/>
      <c r="M75" s="254"/>
      <c r="N75" s="254"/>
      <c r="O75" s="254"/>
      <c r="P75" s="254"/>
      <c r="Q75" s="254"/>
      <c r="R75" s="254"/>
      <c r="S75" s="254"/>
      <c r="T75" s="254"/>
      <c r="U75" s="254"/>
      <c r="V75" s="254"/>
      <c r="W75" s="254"/>
      <c r="X75" s="254"/>
      <c r="Y75" s="254"/>
      <c r="Z75" s="254"/>
    </row>
    <row r="76" spans="1:26" x14ac:dyDescent="0.35">
      <c r="A76" s="254"/>
      <c r="B76" s="254"/>
      <c r="C76" s="254"/>
      <c r="D76" s="254"/>
      <c r="E76" s="254"/>
      <c r="F76" s="254"/>
      <c r="G76" s="254"/>
      <c r="H76" s="254"/>
      <c r="I76" s="254"/>
      <c r="J76" s="254"/>
      <c r="K76" s="269"/>
      <c r="L76" s="254"/>
      <c r="M76" s="254"/>
      <c r="N76" s="254"/>
      <c r="O76" s="254"/>
      <c r="P76" s="254"/>
      <c r="Q76" s="254"/>
      <c r="R76" s="254"/>
      <c r="S76" s="254"/>
      <c r="T76" s="254"/>
      <c r="U76" s="254"/>
      <c r="V76" s="254"/>
      <c r="W76" s="254"/>
      <c r="X76" s="254"/>
      <c r="Y76" s="254"/>
      <c r="Z76" s="254"/>
    </row>
    <row r="77" spans="1:26" x14ac:dyDescent="0.35">
      <c r="A77" s="254"/>
      <c r="B77" s="254"/>
      <c r="C77" s="254"/>
      <c r="D77" s="254"/>
      <c r="E77" s="254"/>
      <c r="F77" s="254"/>
      <c r="G77" s="254"/>
      <c r="H77" s="254"/>
      <c r="I77" s="254"/>
      <c r="J77" s="254"/>
      <c r="K77" s="269"/>
      <c r="L77" s="254"/>
      <c r="M77" s="254"/>
      <c r="N77" s="254"/>
      <c r="O77" s="254"/>
      <c r="P77" s="254"/>
      <c r="Q77" s="254"/>
      <c r="R77" s="254"/>
      <c r="S77" s="254"/>
      <c r="T77" s="254"/>
      <c r="U77" s="254"/>
      <c r="V77" s="254"/>
      <c r="W77" s="254"/>
      <c r="X77" s="254"/>
      <c r="Y77" s="254"/>
      <c r="Z77" s="254"/>
    </row>
    <row r="78" spans="1:26" x14ac:dyDescent="0.35">
      <c r="A78" s="254"/>
      <c r="B78" s="254"/>
      <c r="C78" s="254"/>
      <c r="D78" s="254"/>
      <c r="E78" s="254"/>
      <c r="F78" s="254"/>
      <c r="G78" s="254"/>
      <c r="H78" s="254"/>
      <c r="I78" s="254"/>
      <c r="J78" s="254"/>
      <c r="K78" s="269"/>
      <c r="L78" s="254"/>
      <c r="M78" s="254"/>
      <c r="N78" s="254"/>
      <c r="O78" s="254"/>
      <c r="P78" s="254"/>
      <c r="Q78" s="254"/>
      <c r="R78" s="254"/>
      <c r="S78" s="254"/>
      <c r="T78" s="254"/>
      <c r="U78" s="254"/>
      <c r="V78" s="254"/>
      <c r="W78" s="254"/>
      <c r="X78" s="254"/>
      <c r="Y78" s="254"/>
      <c r="Z78" s="254"/>
    </row>
    <row r="79" spans="1:26" x14ac:dyDescent="0.35">
      <c r="A79" s="254"/>
      <c r="B79" s="254"/>
      <c r="C79" s="254"/>
      <c r="D79" s="254"/>
      <c r="E79" s="254"/>
      <c r="F79" s="254"/>
      <c r="G79" s="254"/>
      <c r="H79" s="254"/>
      <c r="I79" s="254"/>
      <c r="J79" s="254"/>
      <c r="K79" s="269"/>
      <c r="L79" s="254"/>
      <c r="M79" s="254"/>
      <c r="N79" s="254"/>
      <c r="O79" s="254"/>
      <c r="P79" s="254"/>
      <c r="Q79" s="254"/>
      <c r="R79" s="254"/>
      <c r="S79" s="254"/>
      <c r="T79" s="254"/>
      <c r="U79" s="254"/>
      <c r="V79" s="254"/>
      <c r="W79" s="254"/>
      <c r="X79" s="254"/>
      <c r="Y79" s="254"/>
      <c r="Z79" s="254"/>
    </row>
    <row r="80" spans="1:26" x14ac:dyDescent="0.35">
      <c r="A80" s="254"/>
      <c r="B80" s="254"/>
      <c r="C80" s="254"/>
      <c r="D80" s="254"/>
      <c r="E80" s="254"/>
      <c r="F80" s="254"/>
      <c r="G80" s="254"/>
      <c r="H80" s="254"/>
      <c r="I80" s="254"/>
      <c r="J80" s="254"/>
      <c r="K80" s="269"/>
      <c r="L80" s="254"/>
      <c r="M80" s="254"/>
      <c r="N80" s="254"/>
      <c r="O80" s="254"/>
      <c r="P80" s="254"/>
      <c r="Q80" s="254"/>
      <c r="R80" s="254"/>
      <c r="S80" s="254"/>
      <c r="T80" s="254"/>
      <c r="U80" s="254"/>
      <c r="V80" s="254"/>
      <c r="W80" s="254"/>
      <c r="X80" s="254"/>
      <c r="Y80" s="254"/>
      <c r="Z80" s="254"/>
    </row>
    <row r="81" spans="1:26" x14ac:dyDescent="0.35">
      <c r="A81" s="254"/>
      <c r="B81" s="254"/>
      <c r="C81" s="254"/>
      <c r="D81" s="254"/>
      <c r="E81" s="254"/>
      <c r="F81" s="254"/>
      <c r="G81" s="254"/>
      <c r="H81" s="254"/>
      <c r="I81" s="254"/>
      <c r="J81" s="254"/>
      <c r="K81" s="269"/>
      <c r="L81" s="254"/>
      <c r="M81" s="254"/>
      <c r="N81" s="254"/>
      <c r="O81" s="254"/>
      <c r="P81" s="254"/>
      <c r="Q81" s="254"/>
      <c r="R81" s="254"/>
      <c r="S81" s="254"/>
      <c r="T81" s="254"/>
      <c r="U81" s="254"/>
      <c r="V81" s="254"/>
      <c r="W81" s="254"/>
      <c r="X81" s="254"/>
      <c r="Y81" s="254"/>
      <c r="Z81" s="254"/>
    </row>
    <row r="82" spans="1:26" x14ac:dyDescent="0.35">
      <c r="A82" s="254"/>
      <c r="B82" s="254"/>
      <c r="C82" s="254"/>
      <c r="D82" s="254"/>
      <c r="E82" s="254"/>
      <c r="F82" s="254"/>
      <c r="G82" s="254"/>
      <c r="H82" s="254"/>
      <c r="I82" s="254"/>
      <c r="J82" s="254"/>
      <c r="K82" s="269"/>
      <c r="L82" s="254"/>
      <c r="M82" s="254"/>
      <c r="N82" s="254"/>
      <c r="O82" s="254"/>
      <c r="P82" s="254"/>
      <c r="Q82" s="254"/>
      <c r="R82" s="254"/>
      <c r="S82" s="254"/>
      <c r="T82" s="254"/>
      <c r="U82" s="254"/>
      <c r="V82" s="254"/>
      <c r="W82" s="254"/>
      <c r="X82" s="254"/>
      <c r="Y82" s="254"/>
      <c r="Z82" s="254"/>
    </row>
    <row r="83" spans="1:26" x14ac:dyDescent="0.35">
      <c r="A83" s="254"/>
      <c r="B83" s="254"/>
      <c r="C83" s="254"/>
      <c r="D83" s="254"/>
      <c r="E83" s="254"/>
      <c r="F83" s="254"/>
      <c r="G83" s="254"/>
      <c r="H83" s="254"/>
      <c r="I83" s="254"/>
      <c r="J83" s="254"/>
      <c r="K83" s="269"/>
      <c r="L83" s="254"/>
      <c r="M83" s="254"/>
      <c r="N83" s="254"/>
      <c r="O83" s="254"/>
      <c r="P83" s="254"/>
      <c r="Q83" s="254"/>
      <c r="R83" s="254"/>
      <c r="S83" s="254"/>
      <c r="T83" s="254"/>
      <c r="U83" s="254"/>
      <c r="V83" s="254"/>
      <c r="W83" s="254"/>
      <c r="X83" s="254"/>
      <c r="Y83" s="254"/>
      <c r="Z83" s="254"/>
    </row>
    <row r="84" spans="1:26" x14ac:dyDescent="0.35">
      <c r="A84" s="254"/>
      <c r="B84" s="254"/>
      <c r="C84" s="254"/>
      <c r="D84" s="254"/>
      <c r="E84" s="254"/>
      <c r="F84" s="254"/>
      <c r="G84" s="254"/>
      <c r="H84" s="254"/>
      <c r="I84" s="254"/>
      <c r="J84" s="254"/>
      <c r="K84" s="269"/>
      <c r="L84" s="254"/>
      <c r="M84" s="254"/>
      <c r="N84" s="254"/>
      <c r="O84" s="254"/>
      <c r="P84" s="254"/>
      <c r="Q84" s="254"/>
      <c r="R84" s="254"/>
      <c r="S84" s="254"/>
      <c r="T84" s="254"/>
      <c r="U84" s="254"/>
      <c r="V84" s="254"/>
      <c r="W84" s="254"/>
      <c r="X84" s="254"/>
      <c r="Y84" s="254"/>
      <c r="Z84" s="254"/>
    </row>
    <row r="85" spans="1:26" x14ac:dyDescent="0.35">
      <c r="A85" s="254"/>
      <c r="B85" s="254"/>
      <c r="C85" s="254"/>
      <c r="D85" s="254"/>
      <c r="E85" s="254"/>
      <c r="F85" s="254"/>
      <c r="G85" s="254"/>
      <c r="H85" s="254"/>
      <c r="I85" s="254"/>
      <c r="J85" s="254"/>
      <c r="K85" s="269"/>
      <c r="L85" s="254"/>
      <c r="M85" s="254"/>
      <c r="N85" s="254"/>
      <c r="O85" s="254"/>
      <c r="P85" s="254"/>
      <c r="Q85" s="254"/>
      <c r="R85" s="254"/>
      <c r="S85" s="254"/>
      <c r="T85" s="254"/>
      <c r="U85" s="254"/>
      <c r="V85" s="254"/>
      <c r="W85" s="254"/>
      <c r="X85" s="254"/>
      <c r="Y85" s="254"/>
      <c r="Z85" s="254"/>
    </row>
    <row r="86" spans="1:26" x14ac:dyDescent="0.35">
      <c r="A86" s="254"/>
      <c r="B86" s="254"/>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row>
    <row r="87" spans="1:26" x14ac:dyDescent="0.35">
      <c r="A87" s="254"/>
      <c r="B87" s="254"/>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row>
    <row r="88" spans="1:26" x14ac:dyDescent="0.35">
      <c r="A88" s="254"/>
      <c r="B88" s="254"/>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row>
    <row r="89" spans="1:26" x14ac:dyDescent="0.35">
      <c r="A89" s="254"/>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row>
    <row r="90" spans="1:26" x14ac:dyDescent="0.35">
      <c r="A90" s="254"/>
      <c r="B90" s="254"/>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row>
    <row r="91" spans="1:26" x14ac:dyDescent="0.35">
      <c r="A91" s="254"/>
      <c r="B91" s="254"/>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row>
    <row r="92" spans="1:26" x14ac:dyDescent="0.35">
      <c r="A92" s="254"/>
      <c r="B92" s="254"/>
      <c r="C92" s="254"/>
      <c r="D92" s="254"/>
      <c r="E92" s="254"/>
      <c r="F92" s="254"/>
      <c r="G92" s="254"/>
      <c r="H92" s="254"/>
      <c r="I92" s="254"/>
      <c r="J92" s="254"/>
      <c r="K92" s="254"/>
      <c r="L92" s="254"/>
      <c r="M92" s="254"/>
      <c r="N92" s="254"/>
      <c r="O92" s="254"/>
      <c r="P92" s="254"/>
      <c r="Q92" s="254"/>
      <c r="R92" s="254"/>
      <c r="S92" s="254"/>
      <c r="T92" s="254"/>
      <c r="U92" s="254"/>
    </row>
    <row r="93" spans="1:26" x14ac:dyDescent="0.35">
      <c r="A93" s="254"/>
      <c r="B93" s="254"/>
      <c r="C93" s="254"/>
      <c r="D93" s="254"/>
      <c r="E93" s="254"/>
      <c r="F93" s="254"/>
      <c r="G93" s="254"/>
      <c r="H93" s="254"/>
      <c r="I93" s="254"/>
      <c r="J93" s="254"/>
      <c r="K93" s="254"/>
      <c r="L93" s="254"/>
      <c r="M93" s="254"/>
      <c r="N93" s="254"/>
      <c r="O93" s="254"/>
      <c r="P93" s="254"/>
      <c r="Q93" s="254"/>
      <c r="R93" s="254"/>
      <c r="S93" s="254"/>
      <c r="T93" s="254"/>
      <c r="U93" s="254"/>
    </row>
    <row r="94" spans="1:26" x14ac:dyDescent="0.35">
      <c r="A94" s="254"/>
      <c r="B94" s="254"/>
      <c r="C94" s="254"/>
      <c r="D94" s="254"/>
      <c r="E94" s="254"/>
      <c r="F94" s="254"/>
      <c r="G94" s="254"/>
      <c r="H94" s="254"/>
      <c r="I94" s="254"/>
      <c r="J94" s="254"/>
      <c r="K94" s="254"/>
      <c r="L94" s="254"/>
      <c r="M94" s="254"/>
      <c r="N94" s="254"/>
      <c r="O94" s="254"/>
      <c r="P94" s="254"/>
      <c r="Q94" s="254"/>
      <c r="R94" s="254"/>
      <c r="S94" s="254"/>
      <c r="T94" s="254"/>
      <c r="U94" s="254"/>
    </row>
    <row r="95" spans="1:26" x14ac:dyDescent="0.35">
      <c r="A95" s="254"/>
      <c r="B95" s="254"/>
      <c r="C95" s="254"/>
      <c r="D95" s="254"/>
      <c r="E95" s="254"/>
      <c r="F95" s="254"/>
      <c r="G95" s="254"/>
      <c r="H95" s="254"/>
      <c r="I95" s="254"/>
      <c r="J95" s="254"/>
      <c r="K95" s="254"/>
      <c r="L95" s="254"/>
      <c r="M95" s="254"/>
      <c r="N95" s="254"/>
      <c r="O95" s="254"/>
      <c r="P95" s="254"/>
      <c r="Q95" s="254"/>
      <c r="R95" s="254"/>
      <c r="S95" s="254"/>
      <c r="T95" s="254"/>
      <c r="U95" s="254"/>
    </row>
    <row r="96" spans="1:26" x14ac:dyDescent="0.35">
      <c r="A96" s="254"/>
      <c r="B96" s="254"/>
      <c r="C96" s="254"/>
      <c r="D96" s="254"/>
      <c r="E96" s="254"/>
      <c r="F96" s="254"/>
      <c r="G96" s="254"/>
      <c r="H96" s="254"/>
      <c r="I96" s="254"/>
      <c r="J96" s="254"/>
      <c r="K96" s="254"/>
      <c r="L96" s="254"/>
      <c r="M96" s="254"/>
      <c r="N96" s="254"/>
      <c r="O96" s="254"/>
      <c r="P96" s="254"/>
      <c r="Q96" s="254"/>
      <c r="R96" s="254"/>
      <c r="S96" s="254"/>
      <c r="T96" s="254"/>
      <c r="U96" s="254"/>
    </row>
    <row r="97" spans="1:21" x14ac:dyDescent="0.35">
      <c r="A97" s="254"/>
      <c r="B97" s="254"/>
      <c r="C97" s="254"/>
      <c r="D97" s="254"/>
      <c r="E97" s="254"/>
      <c r="F97" s="254"/>
      <c r="G97" s="254"/>
      <c r="H97" s="254"/>
      <c r="I97" s="254"/>
      <c r="J97" s="254"/>
      <c r="K97" s="254"/>
      <c r="L97" s="254"/>
      <c r="M97" s="254"/>
      <c r="N97" s="254"/>
      <c r="O97" s="254"/>
      <c r="P97" s="254"/>
      <c r="Q97" s="254"/>
      <c r="R97" s="254"/>
      <c r="S97" s="254"/>
      <c r="T97" s="254"/>
      <c r="U97" s="254"/>
    </row>
    <row r="98" spans="1:21" x14ac:dyDescent="0.35">
      <c r="A98" s="254"/>
      <c r="B98" s="254"/>
      <c r="C98" s="254"/>
      <c r="D98" s="254"/>
      <c r="E98" s="254"/>
      <c r="F98" s="254"/>
      <c r="G98" s="254"/>
      <c r="H98" s="254"/>
      <c r="I98" s="254"/>
      <c r="J98" s="254"/>
      <c r="K98" s="254"/>
      <c r="L98" s="254"/>
      <c r="M98" s="254"/>
      <c r="N98" s="254"/>
      <c r="O98" s="254"/>
      <c r="P98" s="254"/>
      <c r="Q98" s="254"/>
      <c r="R98" s="254"/>
      <c r="S98" s="254"/>
      <c r="T98" s="254"/>
      <c r="U98" s="254"/>
    </row>
    <row r="99" spans="1:21" x14ac:dyDescent="0.35">
      <c r="A99" s="254"/>
      <c r="B99" s="254"/>
      <c r="C99" s="254"/>
      <c r="D99" s="254"/>
      <c r="E99" s="254"/>
      <c r="F99" s="254"/>
      <c r="G99" s="254"/>
      <c r="H99" s="254"/>
      <c r="I99" s="254"/>
      <c r="J99" s="254"/>
      <c r="K99" s="254"/>
      <c r="L99" s="254"/>
      <c r="M99" s="254"/>
      <c r="N99" s="254"/>
      <c r="O99" s="254"/>
      <c r="P99" s="254"/>
      <c r="Q99" s="254"/>
      <c r="R99" s="254"/>
      <c r="S99" s="254"/>
      <c r="T99" s="254"/>
      <c r="U99" s="254"/>
    </row>
  </sheetData>
  <mergeCells count="36">
    <mergeCell ref="H33:I33"/>
    <mergeCell ref="F32:G32"/>
    <mergeCell ref="H32:I32"/>
    <mergeCell ref="H46:I46"/>
    <mergeCell ref="J46:K46"/>
    <mergeCell ref="A45:A46"/>
    <mergeCell ref="B45:B46"/>
    <mergeCell ref="C45:C46"/>
    <mergeCell ref="A31:A32"/>
    <mergeCell ref="B31:B32"/>
    <mergeCell ref="C31:C32"/>
    <mergeCell ref="D31:K31"/>
    <mergeCell ref="D32:E32"/>
    <mergeCell ref="J32:K32"/>
    <mergeCell ref="A4:A5"/>
    <mergeCell ref="B4:B5"/>
    <mergeCell ref="C4:C5"/>
    <mergeCell ref="A17:A18"/>
    <mergeCell ref="B17:B18"/>
    <mergeCell ref="C17:C18"/>
    <mergeCell ref="C55:D55"/>
    <mergeCell ref="C56:D56"/>
    <mergeCell ref="C41:D41"/>
    <mergeCell ref="C42:D42"/>
    <mergeCell ref="D4:H4"/>
    <mergeCell ref="D17:H17"/>
    <mergeCell ref="D47:E47"/>
    <mergeCell ref="F47:G47"/>
    <mergeCell ref="H47:I47"/>
    <mergeCell ref="D45:K45"/>
    <mergeCell ref="J33:K33"/>
    <mergeCell ref="D33:E33"/>
    <mergeCell ref="F33:G33"/>
    <mergeCell ref="J47:K47"/>
    <mergeCell ref="D46:E46"/>
    <mergeCell ref="F46:G46"/>
  </mergeCells>
  <pageMargins left="0.7" right="0.7" top="0.75" bottom="0.75" header="0.3" footer="0.3"/>
  <pageSetup orientation="portrait" horizontalDpi="1200" verticalDpi="1200"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2"/>
  <sheetViews>
    <sheetView tabSelected="1" zoomScaleNormal="100" workbookViewId="0">
      <selection activeCell="O36" sqref="O36"/>
    </sheetView>
  </sheetViews>
  <sheetFormatPr defaultRowHeight="14.5" x14ac:dyDescent="0.35"/>
  <cols>
    <col min="2" max="2" width="44.7265625" customWidth="1"/>
    <col min="3" max="3" width="11" customWidth="1"/>
    <col min="4" max="4" width="11.54296875" customWidth="1"/>
    <col min="5" max="6" width="12" customWidth="1"/>
    <col min="7" max="7" width="15.54296875" bestFit="1" customWidth="1"/>
    <col min="8" max="8" width="17" bestFit="1" customWidth="1"/>
    <col min="9" max="9" width="12.26953125" customWidth="1"/>
    <col min="10" max="10" width="25.81640625" bestFit="1" customWidth="1"/>
    <col min="11" max="11" width="10.453125" customWidth="1"/>
    <col min="12" max="12" width="14.26953125" customWidth="1"/>
    <col min="13" max="13" width="15.1796875" customWidth="1"/>
    <col min="14" max="14" width="9.7265625" bestFit="1" customWidth="1"/>
    <col min="15" max="15" width="15.54296875" bestFit="1" customWidth="1"/>
    <col min="16" max="16" width="17" bestFit="1" customWidth="1"/>
  </cols>
  <sheetData>
    <row r="2" spans="2:11" ht="15" thickBot="1" x14ac:dyDescent="0.4"/>
    <row r="3" spans="2:11" x14ac:dyDescent="0.35">
      <c r="B3" s="404" t="s">
        <v>125</v>
      </c>
      <c r="C3" s="405"/>
      <c r="D3" s="406"/>
      <c r="I3" s="2"/>
      <c r="J3" s="2"/>
      <c r="K3" s="2"/>
    </row>
    <row r="4" spans="2:11" x14ac:dyDescent="0.35">
      <c r="B4" s="8"/>
      <c r="C4" s="84" t="s">
        <v>126</v>
      </c>
      <c r="D4" s="85" t="s">
        <v>127</v>
      </c>
      <c r="E4" s="7"/>
      <c r="F4" s="7"/>
      <c r="G4" s="7"/>
      <c r="H4" s="7"/>
      <c r="I4" s="7"/>
      <c r="J4" s="7"/>
      <c r="K4" s="7"/>
    </row>
    <row r="5" spans="2:11" x14ac:dyDescent="0.35">
      <c r="B5" s="92" t="s">
        <v>128</v>
      </c>
      <c r="C5" s="93">
        <v>4595</v>
      </c>
      <c r="D5" s="94">
        <v>3594</v>
      </c>
      <c r="E5" s="7"/>
      <c r="F5" s="97"/>
      <c r="G5" s="7"/>
      <c r="H5" s="7"/>
      <c r="I5" s="7"/>
      <c r="J5" s="7"/>
      <c r="K5" s="7"/>
    </row>
    <row r="6" spans="2:11" ht="15" thickBot="1" x14ac:dyDescent="0.4">
      <c r="B6" s="241" t="s">
        <v>129</v>
      </c>
      <c r="C6" s="242">
        <v>429</v>
      </c>
      <c r="D6" s="243">
        <v>429</v>
      </c>
      <c r="J6" s="32"/>
      <c r="K6" s="32"/>
    </row>
    <row r="7" spans="2:11" x14ac:dyDescent="0.35">
      <c r="B7" s="5" t="s">
        <v>10</v>
      </c>
      <c r="C7" s="95">
        <v>37.299999999999997</v>
      </c>
      <c r="D7" s="96">
        <v>26.1</v>
      </c>
      <c r="J7" s="33"/>
      <c r="K7" s="32"/>
    </row>
    <row r="8" spans="2:11" x14ac:dyDescent="0.35">
      <c r="B8" s="3" t="s">
        <v>11</v>
      </c>
      <c r="C8" s="86">
        <v>142</v>
      </c>
      <c r="D8" s="87">
        <v>26.1</v>
      </c>
      <c r="J8" s="33"/>
      <c r="K8" s="32"/>
    </row>
    <row r="9" spans="2:11" ht="15" thickBot="1" x14ac:dyDescent="0.4">
      <c r="B9" s="6" t="s">
        <v>12</v>
      </c>
      <c r="C9" s="88">
        <v>366</v>
      </c>
      <c r="D9" s="89">
        <v>33</v>
      </c>
    </row>
    <row r="10" spans="2:11" x14ac:dyDescent="0.35">
      <c r="B10" s="410" t="s">
        <v>130</v>
      </c>
      <c r="C10" s="411"/>
      <c r="D10" s="412"/>
    </row>
    <row r="11" spans="2:11" x14ac:dyDescent="0.35">
      <c r="B11" s="8"/>
      <c r="C11" s="84" t="s">
        <v>126</v>
      </c>
      <c r="D11" s="85" t="s">
        <v>127</v>
      </c>
    </row>
    <row r="12" spans="2:11" x14ac:dyDescent="0.35">
      <c r="B12" s="92" t="s">
        <v>131</v>
      </c>
      <c r="C12" s="93">
        <v>4769</v>
      </c>
      <c r="D12" s="94">
        <v>4206</v>
      </c>
    </row>
    <row r="13" spans="2:11" ht="15" thickBot="1" x14ac:dyDescent="0.4">
      <c r="B13" s="241" t="s">
        <v>129</v>
      </c>
      <c r="C13" s="242">
        <v>442</v>
      </c>
      <c r="D13" s="243">
        <v>442</v>
      </c>
    </row>
    <row r="14" spans="2:11" x14ac:dyDescent="0.35">
      <c r="B14" s="5" t="s">
        <v>10</v>
      </c>
      <c r="C14" s="95">
        <v>311</v>
      </c>
      <c r="D14" s="96">
        <v>321</v>
      </c>
    </row>
    <row r="15" spans="2:11" x14ac:dyDescent="0.35">
      <c r="B15" s="3" t="s">
        <v>11</v>
      </c>
      <c r="C15" s="90">
        <v>1366</v>
      </c>
      <c r="D15" s="87">
        <v>321</v>
      </c>
    </row>
    <row r="16" spans="2:11" ht="15" thickBot="1" x14ac:dyDescent="0.4">
      <c r="B16" s="6" t="s">
        <v>12</v>
      </c>
      <c r="C16" s="91">
        <v>3053</v>
      </c>
      <c r="D16" s="89">
        <v>342</v>
      </c>
    </row>
    <row r="17" spans="2:16" x14ac:dyDescent="0.35">
      <c r="C17" s="244"/>
      <c r="D17" s="245"/>
    </row>
    <row r="18" spans="2:16" x14ac:dyDescent="0.35">
      <c r="B18" s="97" t="s">
        <v>132</v>
      </c>
      <c r="C18" s="244"/>
      <c r="D18" s="245"/>
    </row>
    <row r="19" spans="2:16" x14ac:dyDescent="0.35">
      <c r="B19" t="s">
        <v>133</v>
      </c>
      <c r="C19" s="244"/>
      <c r="D19" s="245"/>
    </row>
    <row r="20" spans="2:16" x14ac:dyDescent="0.35">
      <c r="B20" t="s">
        <v>134</v>
      </c>
      <c r="C20" s="244"/>
      <c r="D20" s="245"/>
    </row>
    <row r="21" spans="2:16" x14ac:dyDescent="0.35">
      <c r="B21" t="s">
        <v>135</v>
      </c>
      <c r="C21" s="244"/>
      <c r="D21" s="245"/>
    </row>
    <row r="23" spans="2:16" ht="15.5" x14ac:dyDescent="0.35">
      <c r="B23" s="9" t="s">
        <v>136</v>
      </c>
      <c r="C23" s="9"/>
      <c r="D23" s="9"/>
      <c r="E23" s="9"/>
      <c r="F23" s="9"/>
      <c r="G23" s="9"/>
      <c r="H23" s="9"/>
      <c r="I23" s="9"/>
      <c r="J23" s="34"/>
    </row>
    <row r="24" spans="2:16" ht="15.5" x14ac:dyDescent="0.35">
      <c r="B24" s="9" t="s">
        <v>137</v>
      </c>
      <c r="C24" s="9"/>
      <c r="D24" s="9"/>
      <c r="E24" s="9"/>
      <c r="F24" s="9"/>
      <c r="G24" s="9"/>
      <c r="H24" s="9"/>
      <c r="I24" s="9"/>
      <c r="J24" s="34"/>
    </row>
    <row r="25" spans="2:16" ht="15.5" x14ac:dyDescent="0.35">
      <c r="B25" s="9" t="s">
        <v>138</v>
      </c>
      <c r="C25" s="9"/>
      <c r="D25" s="9"/>
      <c r="E25" s="9"/>
      <c r="F25" s="9"/>
      <c r="G25" s="9"/>
      <c r="H25" s="9"/>
      <c r="I25" s="9"/>
      <c r="J25" s="34"/>
    </row>
    <row r="26" spans="2:16" ht="15.5" x14ac:dyDescent="0.35">
      <c r="B26" s="9" t="s">
        <v>139</v>
      </c>
      <c r="C26" s="9"/>
      <c r="D26" s="9"/>
      <c r="E26" s="9"/>
      <c r="F26" s="9"/>
      <c r="G26" s="9"/>
      <c r="H26" s="9"/>
      <c r="I26" s="9"/>
      <c r="J26" s="34"/>
    </row>
    <row r="27" spans="2:16" ht="15.5" x14ac:dyDescent="0.35">
      <c r="B27" s="9" t="s">
        <v>140</v>
      </c>
      <c r="C27" s="9"/>
      <c r="D27" s="9"/>
      <c r="E27" s="9"/>
      <c r="F27" s="9"/>
      <c r="G27" s="9"/>
      <c r="H27" s="9"/>
      <c r="I27" s="9"/>
      <c r="J27" s="34"/>
    </row>
    <row r="28" spans="2:16" ht="15.5" x14ac:dyDescent="0.35">
      <c r="B28" s="9" t="s">
        <v>141</v>
      </c>
      <c r="C28" s="9"/>
      <c r="D28" s="9"/>
      <c r="E28" s="9"/>
      <c r="F28" s="9"/>
      <c r="G28" s="9"/>
      <c r="H28" s="9"/>
      <c r="I28" s="9"/>
      <c r="J28" s="34"/>
    </row>
    <row r="29" spans="2:16" ht="15" thickBot="1" x14ac:dyDescent="0.4"/>
    <row r="30" spans="2:16" x14ac:dyDescent="0.35">
      <c r="B30" s="407" t="s">
        <v>10</v>
      </c>
      <c r="C30" s="408"/>
      <c r="D30" s="408"/>
      <c r="E30" s="409"/>
      <c r="F30" s="10"/>
      <c r="G30" s="10"/>
      <c r="H30" s="10"/>
      <c r="J30" s="2"/>
      <c r="K30" s="2"/>
      <c r="L30" s="2"/>
      <c r="M30" s="2"/>
      <c r="N30" s="35"/>
      <c r="O30" s="35"/>
      <c r="P30" s="35"/>
    </row>
    <row r="31" spans="2:16" ht="15" thickBot="1" x14ac:dyDescent="0.4">
      <c r="B31" s="43"/>
      <c r="C31" s="44">
        <v>2025</v>
      </c>
      <c r="D31" s="44">
        <v>2040</v>
      </c>
      <c r="E31" s="45" t="s">
        <v>142</v>
      </c>
      <c r="F31" s="11" t="s">
        <v>143</v>
      </c>
      <c r="G31" s="11" t="s">
        <v>144</v>
      </c>
      <c r="H31" s="11" t="s">
        <v>145</v>
      </c>
      <c r="K31" s="11"/>
      <c r="L31" s="11"/>
      <c r="M31" s="11"/>
      <c r="N31" s="11"/>
      <c r="O31" s="11"/>
      <c r="P31" s="11"/>
    </row>
    <row r="32" spans="2:16" x14ac:dyDescent="0.35">
      <c r="B32" s="46" t="s">
        <v>146</v>
      </c>
      <c r="C32" s="47" t="s">
        <v>147</v>
      </c>
      <c r="D32" s="30" t="s">
        <v>148</v>
      </c>
      <c r="E32" s="48" t="s">
        <v>148</v>
      </c>
      <c r="F32" s="16" t="str">
        <f>"$"&amp;ROUND(265/(1.5),2)&amp;"M"</f>
        <v>$176.67M</v>
      </c>
      <c r="G32" s="17">
        <v>0.5</v>
      </c>
      <c r="H32" s="12" t="s">
        <v>148</v>
      </c>
      <c r="K32" s="36"/>
      <c r="L32" s="12"/>
      <c r="M32" s="12"/>
      <c r="N32" s="37"/>
      <c r="O32" s="17"/>
      <c r="P32" s="12"/>
    </row>
    <row r="33" spans="2:16" x14ac:dyDescent="0.35">
      <c r="B33" s="43" t="s">
        <v>149</v>
      </c>
      <c r="C33" s="49" t="s">
        <v>150</v>
      </c>
      <c r="D33" s="49" t="s">
        <v>151</v>
      </c>
      <c r="E33" s="50" t="s">
        <v>152</v>
      </c>
      <c r="F33" s="12" t="s">
        <v>153</v>
      </c>
      <c r="G33" s="17">
        <v>0.5</v>
      </c>
      <c r="H33" s="12" t="s">
        <v>152</v>
      </c>
      <c r="K33" s="12"/>
      <c r="L33" s="12"/>
      <c r="M33" s="12"/>
      <c r="N33" s="12"/>
      <c r="O33" s="12"/>
      <c r="P33" s="12"/>
    </row>
    <row r="34" spans="2:16" x14ac:dyDescent="0.35">
      <c r="B34" s="43" t="s">
        <v>154</v>
      </c>
      <c r="C34" s="51" t="s">
        <v>147</v>
      </c>
      <c r="D34" s="49" t="s">
        <v>155</v>
      </c>
      <c r="E34" s="50" t="s">
        <v>155</v>
      </c>
      <c r="F34" s="16" t="str">
        <f>"$"&amp;ROUND(136/(1.5),2)&amp;"M"</f>
        <v>$90.67M</v>
      </c>
      <c r="G34" s="17">
        <v>0.5</v>
      </c>
      <c r="H34" s="12" t="s">
        <v>155</v>
      </c>
      <c r="K34" s="36"/>
      <c r="L34" s="12"/>
      <c r="M34" s="12"/>
      <c r="N34" s="37"/>
      <c r="O34" s="17"/>
      <c r="P34" s="12"/>
    </row>
    <row r="35" spans="2:16" x14ac:dyDescent="0.35">
      <c r="B35" s="43" t="s">
        <v>156</v>
      </c>
      <c r="C35" s="49" t="s">
        <v>157</v>
      </c>
      <c r="D35" s="49" t="s">
        <v>158</v>
      </c>
      <c r="E35" s="50" t="s">
        <v>159</v>
      </c>
      <c r="F35" s="12" t="s">
        <v>160</v>
      </c>
      <c r="G35" s="17">
        <v>0.25</v>
      </c>
      <c r="H35" s="12" t="s">
        <v>159</v>
      </c>
      <c r="K35" s="12"/>
      <c r="L35" s="12"/>
      <c r="M35" s="12"/>
      <c r="N35" s="12"/>
      <c r="O35" s="12"/>
      <c r="P35" s="12"/>
    </row>
    <row r="36" spans="2:16" ht="15" thickBot="1" x14ac:dyDescent="0.4">
      <c r="B36" s="52" t="s">
        <v>142</v>
      </c>
      <c r="C36" s="53" t="s">
        <v>161</v>
      </c>
      <c r="D36" s="54" t="s">
        <v>162</v>
      </c>
      <c r="E36" s="55" t="s">
        <v>163</v>
      </c>
      <c r="F36" s="11"/>
      <c r="G36" s="11"/>
      <c r="H36" s="11"/>
      <c r="J36" s="2"/>
      <c r="K36" s="11"/>
      <c r="L36" s="14"/>
      <c r="M36" s="11"/>
      <c r="N36" s="11"/>
      <c r="O36" s="11"/>
      <c r="P36" s="11"/>
    </row>
    <row r="37" spans="2:16" x14ac:dyDescent="0.35">
      <c r="B37" s="407" t="s">
        <v>11</v>
      </c>
      <c r="C37" s="408"/>
      <c r="D37" s="408"/>
      <c r="E37" s="409"/>
      <c r="F37" s="10"/>
      <c r="G37" s="10"/>
      <c r="H37" s="10"/>
      <c r="J37" s="2"/>
      <c r="K37" s="2"/>
      <c r="L37" s="2"/>
      <c r="M37" s="2"/>
      <c r="N37" s="35"/>
      <c r="O37" s="35"/>
      <c r="P37" s="35"/>
    </row>
    <row r="38" spans="2:16" ht="15" thickBot="1" x14ac:dyDescent="0.4">
      <c r="B38" s="43"/>
      <c r="C38" s="44">
        <v>2025</v>
      </c>
      <c r="D38" s="44">
        <v>2040</v>
      </c>
      <c r="E38" s="45" t="s">
        <v>142</v>
      </c>
      <c r="F38" s="11" t="s">
        <v>143</v>
      </c>
      <c r="G38" s="11" t="s">
        <v>144</v>
      </c>
      <c r="H38" s="11" t="s">
        <v>145</v>
      </c>
      <c r="K38" s="11"/>
      <c r="L38" s="11"/>
      <c r="M38" s="11"/>
      <c r="N38" s="11"/>
      <c r="O38" s="11"/>
      <c r="P38" s="11"/>
    </row>
    <row r="39" spans="2:16" x14ac:dyDescent="0.35">
      <c r="B39" s="46" t="s">
        <v>146</v>
      </c>
      <c r="C39" s="47" t="s">
        <v>147</v>
      </c>
      <c r="D39" s="30" t="s">
        <v>164</v>
      </c>
      <c r="E39" s="48" t="s">
        <v>164</v>
      </c>
      <c r="F39" s="16" t="str">
        <f>"$"&amp;ROUND(311/(1.5),2)&amp;"M"</f>
        <v>$207.33M</v>
      </c>
      <c r="G39" s="17">
        <v>0.5</v>
      </c>
      <c r="H39" s="12" t="s">
        <v>164</v>
      </c>
      <c r="K39" s="36"/>
      <c r="L39" s="12"/>
      <c r="M39" s="12"/>
      <c r="N39" s="37"/>
      <c r="O39" s="17"/>
      <c r="P39" s="12"/>
    </row>
    <row r="40" spans="2:16" x14ac:dyDescent="0.35">
      <c r="B40" s="43" t="s">
        <v>149</v>
      </c>
      <c r="C40" s="49" t="s">
        <v>165</v>
      </c>
      <c r="D40" s="49" t="s">
        <v>166</v>
      </c>
      <c r="E40" s="50" t="s">
        <v>167</v>
      </c>
      <c r="F40" s="12" t="s">
        <v>168</v>
      </c>
      <c r="G40" s="12">
        <v>100</v>
      </c>
      <c r="H40" s="12" t="s">
        <v>167</v>
      </c>
      <c r="K40" s="12"/>
      <c r="L40" s="12"/>
      <c r="M40" s="12"/>
      <c r="N40" s="12"/>
      <c r="O40" s="12"/>
      <c r="P40" s="12"/>
    </row>
    <row r="41" spans="2:16" x14ac:dyDescent="0.35">
      <c r="B41" s="43" t="s">
        <v>154</v>
      </c>
      <c r="C41" s="51" t="s">
        <v>147</v>
      </c>
      <c r="D41" s="49" t="s">
        <v>155</v>
      </c>
      <c r="E41" s="50" t="s">
        <v>155</v>
      </c>
      <c r="F41" s="16" t="str">
        <f>"$"&amp;ROUND(136/(1.5),2)&amp;"M"</f>
        <v>$90.67M</v>
      </c>
      <c r="G41" s="17">
        <v>0.5</v>
      </c>
      <c r="H41" s="12" t="s">
        <v>155</v>
      </c>
      <c r="K41" s="36"/>
      <c r="L41" s="12"/>
      <c r="M41" s="12"/>
      <c r="N41" s="37"/>
      <c r="O41" s="17"/>
      <c r="P41" s="12"/>
    </row>
    <row r="42" spans="2:16" x14ac:dyDescent="0.35">
      <c r="B42" s="43" t="s">
        <v>156</v>
      </c>
      <c r="C42" s="49" t="s">
        <v>169</v>
      </c>
      <c r="D42" s="49" t="s">
        <v>170</v>
      </c>
      <c r="E42" s="50" t="s">
        <v>171</v>
      </c>
      <c r="F42" s="98" t="s">
        <v>172</v>
      </c>
      <c r="G42" s="99">
        <v>0.25</v>
      </c>
      <c r="H42" s="98" t="s">
        <v>171</v>
      </c>
      <c r="K42" s="12"/>
      <c r="L42" s="12"/>
      <c r="M42" s="12"/>
      <c r="N42" s="20"/>
      <c r="O42" s="19"/>
      <c r="P42" s="20"/>
    </row>
    <row r="43" spans="2:16" x14ac:dyDescent="0.35">
      <c r="B43" s="56" t="s">
        <v>173</v>
      </c>
      <c r="C43" s="66" t="s">
        <v>174</v>
      </c>
      <c r="D43" s="57" t="s">
        <v>175</v>
      </c>
      <c r="E43" s="58" t="s">
        <v>176</v>
      </c>
      <c r="F43" s="98" t="s">
        <v>177</v>
      </c>
      <c r="G43" s="99">
        <v>0.25</v>
      </c>
      <c r="H43" s="98" t="s">
        <v>176</v>
      </c>
      <c r="J43" s="38"/>
      <c r="K43" s="20"/>
      <c r="L43" s="20"/>
      <c r="M43" s="20"/>
      <c r="N43" s="20"/>
      <c r="O43" s="19"/>
      <c r="P43" s="20"/>
    </row>
    <row r="44" spans="2:16" ht="15" thickBot="1" x14ac:dyDescent="0.4">
      <c r="B44" s="52" t="s">
        <v>142</v>
      </c>
      <c r="C44" s="53" t="s">
        <v>178</v>
      </c>
      <c r="D44" s="53" t="s">
        <v>179</v>
      </c>
      <c r="E44" s="55" t="s">
        <v>180</v>
      </c>
      <c r="F44" s="11"/>
      <c r="G44" s="11"/>
      <c r="H44" s="11"/>
      <c r="J44" s="2"/>
      <c r="K44" s="11"/>
      <c r="L44" s="11"/>
      <c r="M44" s="11"/>
      <c r="N44" s="11"/>
      <c r="O44" s="11"/>
      <c r="P44" s="11"/>
    </row>
    <row r="45" spans="2:16" x14ac:dyDescent="0.35">
      <c r="B45" s="401" t="s">
        <v>12</v>
      </c>
      <c r="C45" s="402"/>
      <c r="D45" s="402"/>
      <c r="E45" s="403"/>
      <c r="F45" s="10"/>
      <c r="G45" s="10"/>
      <c r="H45" s="10"/>
      <c r="J45" s="2"/>
      <c r="K45" s="2"/>
      <c r="L45" s="2"/>
      <c r="M45" s="2"/>
      <c r="N45" s="35"/>
      <c r="O45" s="35"/>
      <c r="P45" s="35"/>
    </row>
    <row r="46" spans="2:16" ht="15" thickBot="1" x14ac:dyDescent="0.4">
      <c r="B46" s="43"/>
      <c r="C46" s="44">
        <v>2025</v>
      </c>
      <c r="D46" s="44">
        <v>2040</v>
      </c>
      <c r="E46" s="45" t="s">
        <v>142</v>
      </c>
      <c r="F46" s="11" t="s">
        <v>143</v>
      </c>
      <c r="G46" s="11" t="s">
        <v>144</v>
      </c>
      <c r="H46" s="11" t="s">
        <v>145</v>
      </c>
      <c r="K46" s="11"/>
      <c r="L46" s="11"/>
      <c r="M46" s="11"/>
      <c r="N46" s="11"/>
      <c r="O46" s="11"/>
      <c r="P46" s="11"/>
    </row>
    <row r="47" spans="2:16" x14ac:dyDescent="0.35">
      <c r="B47" s="46" t="s">
        <v>146</v>
      </c>
      <c r="C47" s="59" t="s">
        <v>147</v>
      </c>
      <c r="D47" s="60" t="s">
        <v>181</v>
      </c>
      <c r="E47" s="61" t="s">
        <v>181</v>
      </c>
      <c r="F47" s="16" t="str">
        <f>"$"&amp;ROUND(496/(1.5),2)&amp;"M"</f>
        <v>$330.67M</v>
      </c>
      <c r="G47" s="17">
        <v>0.5</v>
      </c>
      <c r="H47" s="12" t="s">
        <v>181</v>
      </c>
      <c r="K47" s="36"/>
      <c r="L47" s="12"/>
      <c r="M47" s="12"/>
      <c r="N47" s="37"/>
      <c r="O47" s="17"/>
    </row>
    <row r="48" spans="2:16" x14ac:dyDescent="0.35">
      <c r="B48" s="43" t="s">
        <v>149</v>
      </c>
      <c r="C48" s="49" t="s">
        <v>182</v>
      </c>
      <c r="D48" s="62" t="s">
        <v>183</v>
      </c>
      <c r="E48" s="63" t="s">
        <v>184</v>
      </c>
      <c r="F48" s="12" t="s">
        <v>185</v>
      </c>
      <c r="G48" s="12">
        <v>100</v>
      </c>
      <c r="H48" s="12" t="s">
        <v>186</v>
      </c>
      <c r="K48" s="12"/>
      <c r="L48" s="13"/>
      <c r="M48" s="12"/>
      <c r="N48" s="12"/>
      <c r="O48" s="12"/>
    </row>
    <row r="49" spans="2:16" x14ac:dyDescent="0.35">
      <c r="B49" s="43" t="s">
        <v>154</v>
      </c>
      <c r="C49" s="51" t="s">
        <v>147</v>
      </c>
      <c r="D49" s="49" t="s">
        <v>187</v>
      </c>
      <c r="E49" s="50" t="s">
        <v>187</v>
      </c>
      <c r="F49" s="16" t="str">
        <f>"$"&amp;ROUND(559/(1.5),2)&amp;"M"</f>
        <v>$372.67M</v>
      </c>
      <c r="G49" s="17">
        <v>0.5</v>
      </c>
      <c r="H49" s="12" t="s">
        <v>187</v>
      </c>
      <c r="K49" s="36"/>
      <c r="L49" s="12"/>
      <c r="M49" s="12"/>
      <c r="N49" s="37"/>
      <c r="O49" s="17"/>
    </row>
    <row r="50" spans="2:16" x14ac:dyDescent="0.35">
      <c r="B50" s="43" t="s">
        <v>156</v>
      </c>
      <c r="C50" s="49" t="s">
        <v>188</v>
      </c>
      <c r="D50" s="49" t="s">
        <v>189</v>
      </c>
      <c r="E50" s="63" t="s">
        <v>190</v>
      </c>
      <c r="F50" s="100" t="s">
        <v>191</v>
      </c>
      <c r="G50" s="99">
        <v>0.25</v>
      </c>
      <c r="H50" s="100" t="s">
        <v>190</v>
      </c>
      <c r="K50" s="12"/>
      <c r="L50" s="12"/>
      <c r="M50" s="13"/>
      <c r="N50" s="39"/>
      <c r="O50" s="40"/>
      <c r="P50" s="41"/>
    </row>
    <row r="51" spans="2:16" x14ac:dyDescent="0.35">
      <c r="B51" s="56" t="s">
        <v>173</v>
      </c>
      <c r="C51" s="57" t="s">
        <v>192</v>
      </c>
      <c r="D51" s="57" t="s">
        <v>193</v>
      </c>
      <c r="E51" s="64" t="s">
        <v>194</v>
      </c>
      <c r="F51" s="100" t="s">
        <v>195</v>
      </c>
      <c r="G51" s="99">
        <v>0.25</v>
      </c>
      <c r="H51" s="100" t="s">
        <v>194</v>
      </c>
      <c r="J51" s="38"/>
      <c r="K51" s="20"/>
      <c r="L51" s="20"/>
      <c r="M51" s="18"/>
      <c r="N51" s="39"/>
      <c r="O51" s="40"/>
      <c r="P51" s="42"/>
    </row>
    <row r="52" spans="2:16" ht="15" thickBot="1" x14ac:dyDescent="0.4">
      <c r="B52" s="52" t="s">
        <v>142</v>
      </c>
      <c r="C52" s="53" t="s">
        <v>196</v>
      </c>
      <c r="D52" s="53" t="s">
        <v>197</v>
      </c>
      <c r="E52" s="65" t="s">
        <v>198</v>
      </c>
      <c r="F52" s="14"/>
      <c r="G52" s="14"/>
      <c r="H52" s="14"/>
      <c r="J52" s="2"/>
      <c r="K52" s="11"/>
      <c r="L52" s="11"/>
      <c r="M52" s="11"/>
    </row>
    <row r="53" spans="2:16" x14ac:dyDescent="0.35">
      <c r="B53" s="2"/>
      <c r="C53" s="2"/>
      <c r="D53" s="2"/>
      <c r="E53" s="2"/>
      <c r="F53" s="2"/>
      <c r="G53" s="2"/>
      <c r="H53" s="2"/>
    </row>
    <row r="55" spans="2:16" x14ac:dyDescent="0.35">
      <c r="B55" s="1" t="s">
        <v>199</v>
      </c>
    </row>
    <row r="56" spans="2:16" x14ac:dyDescent="0.35">
      <c r="B56" s="1" t="s">
        <v>200</v>
      </c>
    </row>
    <row r="57" spans="2:16" x14ac:dyDescent="0.35">
      <c r="B57" s="1" t="s">
        <v>201</v>
      </c>
    </row>
    <row r="58" spans="2:16" x14ac:dyDescent="0.35">
      <c r="B58" s="1" t="s">
        <v>202</v>
      </c>
    </row>
    <row r="59" spans="2:16" x14ac:dyDescent="0.35">
      <c r="B59" s="1" t="s">
        <v>203</v>
      </c>
    </row>
    <row r="60" spans="2:16" x14ac:dyDescent="0.35">
      <c r="B60" s="1" t="s">
        <v>204</v>
      </c>
    </row>
    <row r="61" spans="2:16" x14ac:dyDescent="0.35">
      <c r="B61" s="31" t="s">
        <v>205</v>
      </c>
    </row>
    <row r="62" spans="2:16" x14ac:dyDescent="0.35">
      <c r="B62" s="29"/>
    </row>
  </sheetData>
  <mergeCells count="5">
    <mergeCell ref="B45:E45"/>
    <mergeCell ref="B3:D3"/>
    <mergeCell ref="B30:E30"/>
    <mergeCell ref="B37:E37"/>
    <mergeCell ref="B10:D10"/>
  </mergeCells>
  <pageMargins left="0.7" right="0.7" top="0.75" bottom="0.75" header="0.3" footer="0.3"/>
  <pageSetup orientation="portrait" horizontalDpi="1200" verticalDpi="1200"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98"/>
  <sheetViews>
    <sheetView topLeftCell="A7" zoomScale="85" zoomScaleNormal="85" workbookViewId="0">
      <selection activeCell="C91" sqref="C91"/>
    </sheetView>
  </sheetViews>
  <sheetFormatPr defaultRowHeight="14.5" x14ac:dyDescent="0.35"/>
  <cols>
    <col min="2" max="2" width="40.26953125" bestFit="1" customWidth="1"/>
    <col min="3" max="15" width="14.81640625" customWidth="1"/>
    <col min="16" max="16" width="16.453125" customWidth="1"/>
    <col min="17" max="17" width="16.7265625" customWidth="1"/>
    <col min="18" max="18" width="14.81640625" customWidth="1"/>
    <col min="19" max="22" width="16.453125" bestFit="1" customWidth="1"/>
    <col min="23" max="23" width="16.54296875" customWidth="1"/>
    <col min="24" max="24" width="17.54296875" bestFit="1" customWidth="1"/>
    <col min="25" max="25" width="13.81640625" bestFit="1" customWidth="1"/>
  </cols>
  <sheetData>
    <row r="2" spans="2:24" ht="18.5" x14ac:dyDescent="0.45">
      <c r="B2" s="22" t="s">
        <v>206</v>
      </c>
    </row>
    <row r="3" spans="2:24" x14ac:dyDescent="0.35">
      <c r="C3">
        <v>2020</v>
      </c>
      <c r="D3">
        <v>2021</v>
      </c>
      <c r="E3">
        <v>2022</v>
      </c>
      <c r="F3">
        <v>2023</v>
      </c>
      <c r="G3">
        <v>2024</v>
      </c>
      <c r="H3">
        <v>2025</v>
      </c>
      <c r="I3">
        <v>2026</v>
      </c>
      <c r="J3">
        <v>2027</v>
      </c>
      <c r="K3">
        <v>2028</v>
      </c>
      <c r="L3">
        <v>2029</v>
      </c>
      <c r="M3">
        <v>2030</v>
      </c>
      <c r="N3">
        <v>2031</v>
      </c>
      <c r="O3">
        <v>2032</v>
      </c>
      <c r="P3">
        <v>2033</v>
      </c>
      <c r="Q3">
        <v>2034</v>
      </c>
      <c r="R3">
        <v>2035</v>
      </c>
      <c r="S3">
        <v>2036</v>
      </c>
      <c r="T3">
        <v>2037</v>
      </c>
      <c r="U3">
        <v>2038</v>
      </c>
      <c r="V3">
        <v>2039</v>
      </c>
      <c r="W3">
        <v>2040</v>
      </c>
      <c r="X3" t="s">
        <v>142</v>
      </c>
    </row>
    <row r="4" spans="2:24" x14ac:dyDescent="0.35">
      <c r="B4" s="2" t="s">
        <v>10</v>
      </c>
    </row>
    <row r="5" spans="2:24" x14ac:dyDescent="0.35">
      <c r="B5" t="s">
        <v>207</v>
      </c>
      <c r="C5">
        <v>1.1015166114388886</v>
      </c>
      <c r="D5">
        <v>3.4569949485237017</v>
      </c>
      <c r="E5">
        <v>6.939391100601064</v>
      </c>
      <c r="F5">
        <v>11.477077714916378</v>
      </c>
      <c r="G5">
        <v>16.9484505078164</v>
      </c>
      <c r="H5">
        <v>23.221133473845487</v>
      </c>
      <c r="I5">
        <v>30.085342136154011</v>
      </c>
      <c r="J5">
        <v>37.531208524869569</v>
      </c>
      <c r="K5">
        <v>45.54531611486081</v>
      </c>
      <c r="L5">
        <v>54.191561643837318</v>
      </c>
      <c r="M5">
        <v>63.63249430117159</v>
      </c>
      <c r="N5">
        <v>74.327205769453329</v>
      </c>
      <c r="O5">
        <v>85.901757813576239</v>
      </c>
      <c r="P5">
        <v>98.330031018771081</v>
      </c>
      <c r="Q5">
        <v>111.32213637497216</v>
      </c>
      <c r="R5">
        <v>124.80051193885957</v>
      </c>
      <c r="S5">
        <v>138.3981250161691</v>
      </c>
      <c r="T5">
        <v>152.16452615901366</v>
      </c>
      <c r="U5">
        <v>166.04691613723907</v>
      </c>
      <c r="V5">
        <v>180.56798094575737</v>
      </c>
      <c r="W5">
        <v>194.91679615698459</v>
      </c>
    </row>
    <row r="6" spans="2:24" x14ac:dyDescent="0.35">
      <c r="B6" t="s">
        <v>208</v>
      </c>
      <c r="C6">
        <v>0.67660034602338248</v>
      </c>
      <c r="D6">
        <v>2.0783300159030178</v>
      </c>
      <c r="E6">
        <v>4.1929229343949679</v>
      </c>
      <c r="F6">
        <v>6.9939613837845114</v>
      </c>
      <c r="G6">
        <v>10.345455238351763</v>
      </c>
      <c r="H6">
        <v>14.120360256237854</v>
      </c>
      <c r="I6">
        <v>18.291081079634246</v>
      </c>
      <c r="J6">
        <v>22.82204894667079</v>
      </c>
      <c r="K6">
        <v>27.6890739930565</v>
      </c>
      <c r="L6">
        <v>32.969001241837177</v>
      </c>
      <c r="M6">
        <v>38.716513944579468</v>
      </c>
      <c r="N6">
        <v>45.075180464057894</v>
      </c>
      <c r="O6">
        <v>51.922717880959901</v>
      </c>
      <c r="P6">
        <v>59.266881416364946</v>
      </c>
      <c r="Q6">
        <v>66.882120829521085</v>
      </c>
      <c r="R6">
        <v>74.729089821472982</v>
      </c>
      <c r="S6">
        <v>82.706912975422767</v>
      </c>
      <c r="T6">
        <v>90.940277132395352</v>
      </c>
      <c r="U6">
        <v>99.249214264126621</v>
      </c>
      <c r="V6">
        <v>107.70082223367837</v>
      </c>
      <c r="W6">
        <v>116.04485000850951</v>
      </c>
    </row>
    <row r="7" spans="2:24" x14ac:dyDescent="0.35">
      <c r="B7" t="s">
        <v>209</v>
      </c>
      <c r="C7">
        <f>C5+C6</f>
        <v>1.7781169574622711</v>
      </c>
      <c r="D7">
        <f t="shared" ref="D7:W7" si="0">D5+D6</f>
        <v>5.5353249644267191</v>
      </c>
      <c r="E7">
        <f t="shared" si="0"/>
        <v>11.132314034996032</v>
      </c>
      <c r="F7">
        <f t="shared" si="0"/>
        <v>18.471039098700889</v>
      </c>
      <c r="G7">
        <f t="shared" si="0"/>
        <v>27.293905746168164</v>
      </c>
      <c r="H7">
        <f t="shared" si="0"/>
        <v>37.341493730083343</v>
      </c>
      <c r="I7">
        <f t="shared" si="0"/>
        <v>48.376423215788257</v>
      </c>
      <c r="J7">
        <f t="shared" si="0"/>
        <v>60.35325747154036</v>
      </c>
      <c r="K7">
        <f t="shared" si="0"/>
        <v>73.234390107917307</v>
      </c>
      <c r="L7">
        <f t="shared" si="0"/>
        <v>87.160562885674494</v>
      </c>
      <c r="M7">
        <f t="shared" si="0"/>
        <v>102.34900824575107</v>
      </c>
      <c r="N7">
        <f t="shared" si="0"/>
        <v>119.40238623351122</v>
      </c>
      <c r="O7">
        <f t="shared" si="0"/>
        <v>137.82447569453615</v>
      </c>
      <c r="P7">
        <f t="shared" si="0"/>
        <v>157.59691243513603</v>
      </c>
      <c r="Q7">
        <f t="shared" si="0"/>
        <v>178.20425720449325</v>
      </c>
      <c r="R7">
        <f t="shared" si="0"/>
        <v>199.52960176033255</v>
      </c>
      <c r="S7">
        <f t="shared" si="0"/>
        <v>221.10503799159187</v>
      </c>
      <c r="T7">
        <f t="shared" si="0"/>
        <v>243.10480329140901</v>
      </c>
      <c r="U7">
        <f t="shared" si="0"/>
        <v>265.2961304013657</v>
      </c>
      <c r="V7">
        <f t="shared" si="0"/>
        <v>288.26880317943574</v>
      </c>
      <c r="W7">
        <f t="shared" si="0"/>
        <v>310.96164616549413</v>
      </c>
    </row>
    <row r="8" spans="2:24" x14ac:dyDescent="0.35">
      <c r="B8" t="s">
        <v>210</v>
      </c>
      <c r="C8" s="15">
        <f>C7/W7</f>
        <v>5.7181230527573014E-3</v>
      </c>
      <c r="D8" s="15">
        <f t="shared" ref="D8:W8" si="1">(D7-C7)/$W$7</f>
        <v>1.2082544755261739E-2</v>
      </c>
      <c r="E8" s="15">
        <f t="shared" si="1"/>
        <v>1.799896913200218E-2</v>
      </c>
      <c r="F8" s="15">
        <f t="shared" si="1"/>
        <v>2.3600097163748546E-2</v>
      </c>
      <c r="G8" s="15">
        <f t="shared" si="1"/>
        <v>2.8372845192528136E-2</v>
      </c>
      <c r="H8" s="15">
        <f t="shared" si="1"/>
        <v>3.2311341632684315E-2</v>
      </c>
      <c r="I8" s="15">
        <f t="shared" si="1"/>
        <v>3.5486464719292468E-2</v>
      </c>
      <c r="J8" s="15">
        <f t="shared" si="1"/>
        <v>3.8515470970262415E-2</v>
      </c>
      <c r="K8" s="15">
        <f t="shared" si="1"/>
        <v>4.1423541440610952E-2</v>
      </c>
      <c r="L8" s="15">
        <f t="shared" si="1"/>
        <v>4.4784213582229566E-2</v>
      </c>
      <c r="M8" s="15">
        <f t="shared" si="1"/>
        <v>4.8843468470684853E-2</v>
      </c>
      <c r="N8" s="15">
        <f t="shared" si="1"/>
        <v>5.4840776018674438E-2</v>
      </c>
      <c r="O8" s="15">
        <f t="shared" si="1"/>
        <v>5.9242320357478007E-2</v>
      </c>
      <c r="P8" s="15">
        <f t="shared" si="1"/>
        <v>6.3584808558921041E-2</v>
      </c>
      <c r="Q8" s="15">
        <f t="shared" si="1"/>
        <v>6.6269731407293753E-2</v>
      </c>
      <c r="R8" s="15">
        <f t="shared" si="1"/>
        <v>6.8578697144180717E-2</v>
      </c>
      <c r="S8" s="15">
        <f t="shared" si="1"/>
        <v>6.938294962516646E-2</v>
      </c>
      <c r="T8" s="15">
        <f t="shared" si="1"/>
        <v>7.0747520059463678E-2</v>
      </c>
      <c r="U8" s="15">
        <f t="shared" si="1"/>
        <v>7.1363550404368647E-2</v>
      </c>
      <c r="V8" s="15">
        <f t="shared" si="1"/>
        <v>7.3876225770441006E-2</v>
      </c>
      <c r="W8" s="15">
        <f t="shared" si="1"/>
        <v>7.2976340541949791E-2</v>
      </c>
    </row>
    <row r="9" spans="2:24" x14ac:dyDescent="0.35">
      <c r="B9" t="s">
        <v>211</v>
      </c>
      <c r="C9" s="15">
        <f>C7/$H$7</f>
        <v>4.7617724409073942E-2</v>
      </c>
      <c r="D9" s="15">
        <f>(D7-C7)/$H$7</f>
        <v>0.1006175070050167</v>
      </c>
      <c r="E9" s="15">
        <f>(E7-D7)/$H$7</f>
        <v>0.14988658758608317</v>
      </c>
      <c r="F9" s="15">
        <f>(F7-E7)/$H$7</f>
        <v>0.19653003483876641</v>
      </c>
      <c r="G9" s="15">
        <f>(G7-F7)/$H$7</f>
        <v>0.2362751396942466</v>
      </c>
      <c r="H9" s="15">
        <f>(H7-G7)/$H$7</f>
        <v>0.26907300646681315</v>
      </c>
      <c r="I9" s="15">
        <f>(I7-H7)/(W7-H7)</f>
        <v>4.0329374088444593E-2</v>
      </c>
      <c r="J9" s="15">
        <f t="shared" ref="J9:W9" si="2">(J7-I7)/($W$7-$H$7)</f>
        <v>4.3771754927953585E-2</v>
      </c>
      <c r="K9" s="15">
        <f t="shared" si="2"/>
        <v>4.7076695637093449E-2</v>
      </c>
      <c r="L9" s="15">
        <f t="shared" si="2"/>
        <v>5.0896005479876057E-2</v>
      </c>
      <c r="M9" s="15">
        <f t="shared" si="2"/>
        <v>5.5509235065066595E-2</v>
      </c>
      <c r="N9" s="15">
        <f t="shared" si="2"/>
        <v>6.2325007262707677E-2</v>
      </c>
      <c r="O9" s="15">
        <f t="shared" si="2"/>
        <v>6.7327239229477212E-2</v>
      </c>
      <c r="P9" s="15">
        <f t="shared" si="2"/>
        <v>7.2262355548783117E-2</v>
      </c>
      <c r="Q9" s="15">
        <f t="shared" si="2"/>
        <v>7.5313695230184718E-2</v>
      </c>
      <c r="R9" s="15">
        <f t="shared" si="2"/>
        <v>7.7937770175291632E-2</v>
      </c>
      <c r="S9" s="15">
        <f t="shared" si="2"/>
        <v>7.8851780613463013E-2</v>
      </c>
      <c r="T9" s="15">
        <f t="shared" si="2"/>
        <v>8.0402576725448913E-2</v>
      </c>
      <c r="U9" s="15">
        <f t="shared" si="2"/>
        <v>8.1102677973235351E-2</v>
      </c>
      <c r="V9" s="15">
        <f t="shared" si="2"/>
        <v>8.3958263211233439E-2</v>
      </c>
      <c r="W9" s="15">
        <f t="shared" si="2"/>
        <v>8.2935568831740705E-2</v>
      </c>
    </row>
    <row r="10" spans="2:24" x14ac:dyDescent="0.35">
      <c r="B10" t="s">
        <v>127</v>
      </c>
      <c r="C10">
        <v>1.2571160370154921</v>
      </c>
      <c r="D10">
        <v>3.8905924322984848</v>
      </c>
      <c r="E10">
        <v>7.8009796053318556</v>
      </c>
      <c r="F10">
        <v>12.925115915200321</v>
      </c>
      <c r="G10">
        <v>19.085574194320806</v>
      </c>
      <c r="H10">
        <v>26.107711956387149</v>
      </c>
      <c r="I10">
        <v>33.856974530037405</v>
      </c>
      <c r="J10">
        <v>42.305100676563441</v>
      </c>
      <c r="K10">
        <v>51.425479627165373</v>
      </c>
      <c r="L10">
        <v>61.315768561907561</v>
      </c>
      <c r="M10">
        <v>72.100460141063905</v>
      </c>
      <c r="N10">
        <v>84.153719075277451</v>
      </c>
      <c r="O10">
        <v>97.1301365819794</v>
      </c>
      <c r="P10">
        <v>111.03035236464616</v>
      </c>
      <c r="Q10">
        <v>125.522139523411</v>
      </c>
      <c r="R10">
        <v>140.59221172280533</v>
      </c>
      <c r="S10">
        <v>156.00671881979233</v>
      </c>
      <c r="T10">
        <v>192.63873925621695</v>
      </c>
      <c r="U10">
        <v>237.74410111776297</v>
      </c>
      <c r="V10">
        <v>279.68458127077753</v>
      </c>
      <c r="W10">
        <v>321.08252400792963</v>
      </c>
    </row>
    <row r="11" spans="2:24" x14ac:dyDescent="0.35">
      <c r="B11" t="s">
        <v>212</v>
      </c>
      <c r="C11" s="15">
        <f>C10/W10</f>
        <v>3.9152427896837066E-3</v>
      </c>
      <c r="D11" s="15">
        <f t="shared" ref="D11:W11" si="3">(D10-C10)/$W$10</f>
        <v>8.2018677392045013E-3</v>
      </c>
      <c r="E11" s="15">
        <f t="shared" si="3"/>
        <v>1.2178760538635848E-2</v>
      </c>
      <c r="F11" s="15">
        <f t="shared" si="3"/>
        <v>1.5958938673790658E-2</v>
      </c>
      <c r="G11" s="15">
        <f t="shared" si="3"/>
        <v>1.9186526261916213E-2</v>
      </c>
      <c r="H11" s="15">
        <f t="shared" si="3"/>
        <v>2.1870196092930054E-2</v>
      </c>
      <c r="I11" s="15">
        <f t="shared" si="3"/>
        <v>2.4134800228052512E-2</v>
      </c>
      <c r="J11" s="15">
        <f t="shared" si="3"/>
        <v>2.6311385749282937E-2</v>
      </c>
      <c r="K11" s="15">
        <f t="shared" si="3"/>
        <v>2.840509298592872E-2</v>
      </c>
      <c r="L11" s="15">
        <f t="shared" si="3"/>
        <v>3.0802950005768399E-2</v>
      </c>
      <c r="M11" s="15">
        <f t="shared" si="3"/>
        <v>3.3588534949008937E-2</v>
      </c>
      <c r="N11" s="15">
        <f t="shared" si="3"/>
        <v>3.7539442457839502E-2</v>
      </c>
      <c r="O11" s="15">
        <f t="shared" si="3"/>
        <v>4.0414586707252481E-2</v>
      </c>
      <c r="P11" s="15">
        <f t="shared" si="3"/>
        <v>4.3291723290189023E-2</v>
      </c>
      <c r="Q11" s="15">
        <f t="shared" si="3"/>
        <v>4.5134151114393693E-2</v>
      </c>
      <c r="R11" s="15">
        <f t="shared" si="3"/>
        <v>4.6935199123519261E-2</v>
      </c>
      <c r="S11" s="15">
        <f t="shared" si="3"/>
        <v>4.8007929253123444E-2</v>
      </c>
      <c r="T11" s="15">
        <f t="shared" si="3"/>
        <v>0.11408911322598156</v>
      </c>
      <c r="U11" s="15">
        <f t="shared" si="3"/>
        <v>0.14047903105567985</v>
      </c>
      <c r="V11" s="15">
        <f t="shared" si="3"/>
        <v>0.13062212053614844</v>
      </c>
      <c r="W11" s="15">
        <f t="shared" si="3"/>
        <v>0.12893240722167026</v>
      </c>
    </row>
    <row r="12" spans="2:24" x14ac:dyDescent="0.35">
      <c r="C12" s="15"/>
      <c r="D12" s="15"/>
      <c r="E12" s="15"/>
      <c r="F12" s="15"/>
      <c r="G12" s="15"/>
      <c r="H12" s="15"/>
      <c r="I12" s="15"/>
      <c r="J12" s="15"/>
      <c r="K12" s="15"/>
      <c r="L12" s="15"/>
      <c r="M12" s="15"/>
      <c r="N12" s="15"/>
      <c r="O12" s="15"/>
      <c r="P12" s="15"/>
      <c r="Q12" s="15"/>
      <c r="R12" s="15"/>
      <c r="S12" s="15"/>
      <c r="T12" s="15"/>
      <c r="U12" s="15"/>
      <c r="V12" s="15"/>
      <c r="W12" s="15"/>
    </row>
    <row r="14" spans="2:24" x14ac:dyDescent="0.35">
      <c r="B14" s="2" t="s">
        <v>11</v>
      </c>
    </row>
    <row r="15" spans="2:24" x14ac:dyDescent="0.35">
      <c r="B15" t="s">
        <v>207</v>
      </c>
      <c r="C15">
        <v>5.1421463254165403</v>
      </c>
      <c r="D15">
        <v>15.675515978087169</v>
      </c>
      <c r="E15">
        <v>30.592871403383644</v>
      </c>
      <c r="F15">
        <v>49.657358480787458</v>
      </c>
      <c r="G15">
        <v>72.801119451328518</v>
      </c>
      <c r="H15">
        <v>99.942506304826168</v>
      </c>
      <c r="I15">
        <v>130.57533541577158</v>
      </c>
      <c r="J15">
        <v>164.94389984670488</v>
      </c>
      <c r="K15">
        <v>203.07620023840022</v>
      </c>
      <c r="L15">
        <v>244.99372393034193</v>
      </c>
      <c r="M15">
        <v>290.79207576826354</v>
      </c>
      <c r="N15">
        <v>341.7638700164303</v>
      </c>
      <c r="O15">
        <v>395.704758329328</v>
      </c>
      <c r="P15">
        <v>452.77839374720514</v>
      </c>
      <c r="Q15">
        <v>512.92522007896753</v>
      </c>
      <c r="R15">
        <v>577.93409268959567</v>
      </c>
      <c r="S15">
        <v>648.44478504547772</v>
      </c>
      <c r="T15">
        <v>725.68935822420644</v>
      </c>
      <c r="U15">
        <v>807.8766782755406</v>
      </c>
      <c r="V15">
        <v>894.54142890091759</v>
      </c>
      <c r="W15">
        <v>979.41277428876867</v>
      </c>
    </row>
    <row r="16" spans="2:24" x14ac:dyDescent="0.35">
      <c r="B16" t="s">
        <v>208</v>
      </c>
      <c r="C16">
        <v>2.1311126875011879</v>
      </c>
      <c r="D16">
        <v>6.3985992684806261</v>
      </c>
      <c r="E16">
        <v>12.626825444354179</v>
      </c>
      <c r="F16">
        <v>20.754078837187379</v>
      </c>
      <c r="G16">
        <v>30.525243577292223</v>
      </c>
      <c r="H16">
        <v>41.728017882804622</v>
      </c>
      <c r="I16">
        <v>54.409760982382444</v>
      </c>
      <c r="J16">
        <v>68.558021230044631</v>
      </c>
      <c r="K16">
        <v>84.126203144851743</v>
      </c>
      <c r="L16">
        <v>101.2602488739017</v>
      </c>
      <c r="M16">
        <v>119.92137379105935</v>
      </c>
      <c r="N16">
        <v>140.2911865467959</v>
      </c>
      <c r="O16">
        <v>161.83209193880748</v>
      </c>
      <c r="P16">
        <v>184.66283442475222</v>
      </c>
      <c r="Q16">
        <v>208.48923007332598</v>
      </c>
      <c r="R16">
        <v>233.86779169430423</v>
      </c>
      <c r="S16">
        <v>261.21225399264625</v>
      </c>
      <c r="T16">
        <v>291.22079966972751</v>
      </c>
      <c r="U16">
        <v>322.82736053320178</v>
      </c>
      <c r="V16">
        <v>355.28927362054031</v>
      </c>
      <c r="W16">
        <v>387.06428159900179</v>
      </c>
    </row>
    <row r="17" spans="2:23" x14ac:dyDescent="0.35">
      <c r="B17" t="s">
        <v>209</v>
      </c>
      <c r="C17">
        <f>C15+C16</f>
        <v>7.2732590129177286</v>
      </c>
      <c r="D17">
        <f t="shared" ref="D17:W17" si="4">D15+D16</f>
        <v>22.074115246567796</v>
      </c>
      <c r="E17">
        <f t="shared" si="4"/>
        <v>43.219696847737822</v>
      </c>
      <c r="F17">
        <f t="shared" si="4"/>
        <v>70.411437317974844</v>
      </c>
      <c r="G17">
        <f t="shared" si="4"/>
        <v>103.32636302862073</v>
      </c>
      <c r="H17">
        <f t="shared" si="4"/>
        <v>141.6705241876308</v>
      </c>
      <c r="I17">
        <f t="shared" si="4"/>
        <v>184.98509639815401</v>
      </c>
      <c r="J17">
        <f t="shared" si="4"/>
        <v>233.50192107674951</v>
      </c>
      <c r="K17">
        <f t="shared" si="4"/>
        <v>287.20240338325198</v>
      </c>
      <c r="L17">
        <f t="shared" si="4"/>
        <v>346.25397280424363</v>
      </c>
      <c r="M17">
        <f t="shared" si="4"/>
        <v>410.7134495593229</v>
      </c>
      <c r="N17">
        <f t="shared" si="4"/>
        <v>482.05505656322623</v>
      </c>
      <c r="O17">
        <f t="shared" si="4"/>
        <v>557.53685026813548</v>
      </c>
      <c r="P17">
        <f t="shared" si="4"/>
        <v>637.44122817195739</v>
      </c>
      <c r="Q17">
        <f t="shared" si="4"/>
        <v>721.41445015229351</v>
      </c>
      <c r="R17">
        <f t="shared" si="4"/>
        <v>811.80188438389996</v>
      </c>
      <c r="S17">
        <f t="shared" si="4"/>
        <v>909.65703903812391</v>
      </c>
      <c r="T17">
        <f t="shared" si="4"/>
        <v>1016.910157893934</v>
      </c>
      <c r="U17">
        <f t="shared" si="4"/>
        <v>1130.7040388087423</v>
      </c>
      <c r="V17">
        <f t="shared" si="4"/>
        <v>1249.8307025214579</v>
      </c>
      <c r="W17">
        <f t="shared" si="4"/>
        <v>1366.4770558877703</v>
      </c>
    </row>
    <row r="18" spans="2:23" x14ac:dyDescent="0.35">
      <c r="B18" t="s">
        <v>213</v>
      </c>
      <c r="C18" s="15">
        <f>C17/W17</f>
        <v>5.3226352989823537E-3</v>
      </c>
      <c r="D18" s="15">
        <f t="shared" ref="D18:W18" si="5">(D17-C17)/$W$17</f>
        <v>1.0831397548811586E-2</v>
      </c>
      <c r="E18" s="15">
        <f t="shared" si="5"/>
        <v>1.5474523710485723E-2</v>
      </c>
      <c r="F18" s="15">
        <f t="shared" si="5"/>
        <v>1.9899156266894757E-2</v>
      </c>
      <c r="G18" s="15">
        <f t="shared" si="5"/>
        <v>2.4087433864201827E-2</v>
      </c>
      <c r="H18" s="15">
        <f t="shared" si="5"/>
        <v>2.8060596402841691E-2</v>
      </c>
      <c r="I18" s="15">
        <f t="shared" si="5"/>
        <v>3.1697987188217133E-2</v>
      </c>
      <c r="J18" s="15">
        <f t="shared" si="5"/>
        <v>3.5505041573548543E-2</v>
      </c>
      <c r="K18" s="15">
        <f t="shared" si="5"/>
        <v>3.9298488090321014E-2</v>
      </c>
      <c r="L18" s="15">
        <f t="shared" si="5"/>
        <v>4.3214460986779717E-2</v>
      </c>
      <c r="M18" s="15">
        <f t="shared" si="5"/>
        <v>4.7172015422682199E-2</v>
      </c>
      <c r="N18" s="15">
        <f t="shared" si="5"/>
        <v>5.2208419231418599E-2</v>
      </c>
      <c r="O18" s="15">
        <f t="shared" si="5"/>
        <v>5.5238244491321059E-2</v>
      </c>
      <c r="P18" s="15">
        <f t="shared" si="5"/>
        <v>5.847473073882662E-2</v>
      </c>
      <c r="Q18" s="15">
        <f t="shared" si="5"/>
        <v>6.1452346834891092E-2</v>
      </c>
      <c r="R18" s="15">
        <f t="shared" si="5"/>
        <v>6.6146324112909244E-2</v>
      </c>
      <c r="S18" s="15">
        <f t="shared" si="5"/>
        <v>7.161126799209197E-2</v>
      </c>
      <c r="T18" s="15">
        <f t="shared" si="5"/>
        <v>7.8488781347397035E-2</v>
      </c>
      <c r="U18" s="15">
        <f t="shared" si="5"/>
        <v>8.3275368894415114E-2</v>
      </c>
      <c r="V18" s="15">
        <f t="shared" si="5"/>
        <v>8.7177946530043654E-2</v>
      </c>
      <c r="W18" s="15">
        <f t="shared" si="5"/>
        <v>8.5362833472919092E-2</v>
      </c>
    </row>
    <row r="19" spans="2:23" x14ac:dyDescent="0.35">
      <c r="B19" t="s">
        <v>211</v>
      </c>
      <c r="C19" s="15">
        <f>C17/$H$17</f>
        <v>5.1339253910608132E-2</v>
      </c>
      <c r="D19" s="15">
        <f>(D17-C17)/$H$17</f>
        <v>0.1044737874622922</v>
      </c>
      <c r="E19" s="15">
        <f>(E17-D17)/$H$17</f>
        <v>0.14925886469626148</v>
      </c>
      <c r="F19" s="15">
        <f>(F17-E17)/$H$17</f>
        <v>0.19193647109136003</v>
      </c>
      <c r="G19" s="15">
        <f>(G17-F17)/$H$17</f>
        <v>0.23233432571374418</v>
      </c>
      <c r="H19" s="15">
        <f>(H17-G17)/$H$17</f>
        <v>0.27065729712573394</v>
      </c>
      <c r="I19" s="15">
        <f>(I17-H17)/(W17-H17)</f>
        <v>3.5364419677284674E-2</v>
      </c>
      <c r="J19" s="15">
        <f t="shared" ref="J19:W19" si="6">(J17-I17)/($W$17-$H$17)</f>
        <v>3.9611827193026035E-2</v>
      </c>
      <c r="K19" s="15">
        <f t="shared" si="6"/>
        <v>4.384405284968676E-2</v>
      </c>
      <c r="L19" s="15">
        <f t="shared" si="6"/>
        <v>4.8212977227532303E-2</v>
      </c>
      <c r="M19" s="15">
        <f t="shared" si="6"/>
        <v>5.2628292784823588E-2</v>
      </c>
      <c r="N19" s="15">
        <f t="shared" si="6"/>
        <v>5.8247245713880118E-2</v>
      </c>
      <c r="O19" s="15">
        <f t="shared" si="6"/>
        <v>6.1627523818095463E-2</v>
      </c>
      <c r="P19" s="15">
        <f t="shared" si="6"/>
        <v>6.5238366905920706E-2</v>
      </c>
      <c r="Q19" s="15">
        <f t="shared" si="6"/>
        <v>6.8560396933688678E-2</v>
      </c>
      <c r="R19" s="15">
        <f t="shared" si="6"/>
        <v>7.3797315651265114E-2</v>
      </c>
      <c r="S19" s="15">
        <f t="shared" si="6"/>
        <v>7.9894376884480159E-2</v>
      </c>
      <c r="T19" s="15">
        <f t="shared" si="6"/>
        <v>8.7567396221289936E-2</v>
      </c>
      <c r="U19" s="15">
        <f t="shared" si="6"/>
        <v>9.2907637222388428E-2</v>
      </c>
      <c r="V19" s="15">
        <f t="shared" si="6"/>
        <v>9.7261616940723855E-2</v>
      </c>
      <c r="W19" s="15">
        <f t="shared" si="6"/>
        <v>9.5236553975914101E-2</v>
      </c>
    </row>
    <row r="20" spans="2:23" x14ac:dyDescent="0.35">
      <c r="B20" t="s">
        <v>127</v>
      </c>
      <c r="C20">
        <v>1.2571160370154921</v>
      </c>
      <c r="D20">
        <v>3.8905924322984848</v>
      </c>
      <c r="E20">
        <v>7.8009796053318556</v>
      </c>
      <c r="F20">
        <v>12.925115915200321</v>
      </c>
      <c r="G20">
        <v>19.085574194320806</v>
      </c>
      <c r="H20">
        <v>26.107711956387149</v>
      </c>
      <c r="I20">
        <v>33.856974530037405</v>
      </c>
      <c r="J20">
        <v>42.305100676563441</v>
      </c>
      <c r="K20">
        <v>51.425479627165373</v>
      </c>
      <c r="L20">
        <v>61.315768561907561</v>
      </c>
      <c r="M20">
        <v>72.100460141063905</v>
      </c>
      <c r="N20">
        <v>84.153719075277451</v>
      </c>
      <c r="O20">
        <v>97.1301365819794</v>
      </c>
      <c r="P20">
        <v>111.03035236464616</v>
      </c>
      <c r="Q20">
        <v>125.522139523411</v>
      </c>
      <c r="R20">
        <v>140.59221172280533</v>
      </c>
      <c r="S20">
        <v>156.00671881979233</v>
      </c>
      <c r="T20">
        <v>192.63873925621695</v>
      </c>
      <c r="U20">
        <v>237.74410111776297</v>
      </c>
      <c r="V20">
        <v>279.68458127077753</v>
      </c>
      <c r="W20">
        <v>321.08252400792963</v>
      </c>
    </row>
    <row r="21" spans="2:23" x14ac:dyDescent="0.35">
      <c r="B21" t="s">
        <v>212</v>
      </c>
      <c r="C21" s="15">
        <f>C20/W20</f>
        <v>3.9152427896837066E-3</v>
      </c>
      <c r="D21" s="15">
        <f t="shared" ref="D21:W21" si="7">(D20-C20)/$W$20</f>
        <v>8.2018677392045013E-3</v>
      </c>
      <c r="E21" s="15">
        <f t="shared" si="7"/>
        <v>1.2178760538635848E-2</v>
      </c>
      <c r="F21" s="15">
        <f t="shared" si="7"/>
        <v>1.5958938673790658E-2</v>
      </c>
      <c r="G21" s="15">
        <f t="shared" si="7"/>
        <v>1.9186526261916213E-2</v>
      </c>
      <c r="H21" s="15">
        <f t="shared" si="7"/>
        <v>2.1870196092930054E-2</v>
      </c>
      <c r="I21" s="15">
        <f t="shared" si="7"/>
        <v>2.4134800228052512E-2</v>
      </c>
      <c r="J21" s="15">
        <f t="shared" si="7"/>
        <v>2.6311385749282937E-2</v>
      </c>
      <c r="K21" s="15">
        <f t="shared" si="7"/>
        <v>2.840509298592872E-2</v>
      </c>
      <c r="L21" s="15">
        <f t="shared" si="7"/>
        <v>3.0802950005768399E-2</v>
      </c>
      <c r="M21" s="15">
        <f t="shared" si="7"/>
        <v>3.3588534949008937E-2</v>
      </c>
      <c r="N21" s="15">
        <f t="shared" si="7"/>
        <v>3.7539442457839502E-2</v>
      </c>
      <c r="O21" s="15">
        <f t="shared" si="7"/>
        <v>4.0414586707252481E-2</v>
      </c>
      <c r="P21" s="15">
        <f t="shared" si="7"/>
        <v>4.3291723290189023E-2</v>
      </c>
      <c r="Q21" s="15">
        <f t="shared" si="7"/>
        <v>4.5134151114393693E-2</v>
      </c>
      <c r="R21" s="15">
        <f t="shared" si="7"/>
        <v>4.6935199123519261E-2</v>
      </c>
      <c r="S21" s="15">
        <f t="shared" si="7"/>
        <v>4.8007929253123444E-2</v>
      </c>
      <c r="T21" s="15">
        <f t="shared" si="7"/>
        <v>0.11408911322598156</v>
      </c>
      <c r="U21" s="15">
        <f t="shared" si="7"/>
        <v>0.14047903105567985</v>
      </c>
      <c r="V21" s="15">
        <f t="shared" si="7"/>
        <v>0.13062212053614844</v>
      </c>
      <c r="W21" s="15">
        <f t="shared" si="7"/>
        <v>0.12893240722167026</v>
      </c>
    </row>
    <row r="24" spans="2:23" x14ac:dyDescent="0.35">
      <c r="B24" s="2" t="s">
        <v>12</v>
      </c>
    </row>
    <row r="25" spans="2:23" x14ac:dyDescent="0.35">
      <c r="B25" t="s">
        <v>207</v>
      </c>
      <c r="C25">
        <v>15.120553315211197</v>
      </c>
      <c r="D25">
        <v>45.909199429886286</v>
      </c>
      <c r="E25">
        <v>89.235231192937462</v>
      </c>
      <c r="F25">
        <v>144.4321882044693</v>
      </c>
      <c r="G25">
        <v>211.48699590366328</v>
      </c>
      <c r="H25">
        <v>290.35883390491455</v>
      </c>
      <c r="I25">
        <v>379.73287332161573</v>
      </c>
      <c r="J25">
        <v>480.42574211134081</v>
      </c>
      <c r="K25">
        <v>592.53762149870738</v>
      </c>
      <c r="L25">
        <v>716.00338387399108</v>
      </c>
      <c r="M25">
        <v>850.82224966647607</v>
      </c>
      <c r="N25">
        <v>991.51088547408062</v>
      </c>
      <c r="O25">
        <v>1131.6094460112131</v>
      </c>
      <c r="P25">
        <v>1271.9061834786353</v>
      </c>
      <c r="Q25">
        <v>1412.5103264804193</v>
      </c>
      <c r="R25">
        <v>1558.0095158332178</v>
      </c>
      <c r="S25">
        <v>1708.8994765894599</v>
      </c>
      <c r="T25">
        <v>1867.0072890232814</v>
      </c>
      <c r="U25">
        <v>2027.0055184466687</v>
      </c>
      <c r="V25">
        <v>2187.8454461540778</v>
      </c>
      <c r="W25">
        <v>2334.5303600215284</v>
      </c>
    </row>
    <row r="26" spans="2:23" x14ac:dyDescent="0.35">
      <c r="B26" t="s">
        <v>208</v>
      </c>
      <c r="C26">
        <v>3.9088499937518053</v>
      </c>
      <c r="D26">
        <v>11.678928354964386</v>
      </c>
      <c r="E26">
        <v>22.93492851208206</v>
      </c>
      <c r="F26">
        <v>37.572000169124173</v>
      </c>
      <c r="G26">
        <v>55.189429324886135</v>
      </c>
      <c r="H26">
        <v>75.470710537497339</v>
      </c>
      <c r="I26">
        <v>98.554814196852433</v>
      </c>
      <c r="J26">
        <v>124.45754290972378</v>
      </c>
      <c r="K26">
        <v>153.10491655260145</v>
      </c>
      <c r="L26">
        <v>184.7273293130917</v>
      </c>
      <c r="M26">
        <v>219.17175804786805</v>
      </c>
      <c r="N26">
        <v>256.66630509236455</v>
      </c>
      <c r="O26">
        <v>296.16577134284341</v>
      </c>
      <c r="P26">
        <v>337.92455476833646</v>
      </c>
      <c r="Q26">
        <v>381.56458581575413</v>
      </c>
      <c r="R26">
        <v>428.37064953887591</v>
      </c>
      <c r="S26">
        <v>479.38544856925279</v>
      </c>
      <c r="T26">
        <v>536.00810499313343</v>
      </c>
      <c r="U26">
        <v>596.0895393065158</v>
      </c>
      <c r="V26">
        <v>657.89738087114893</v>
      </c>
      <c r="W26">
        <v>718.31025354293672</v>
      </c>
    </row>
    <row r="27" spans="2:23" x14ac:dyDescent="0.35">
      <c r="B27" t="s">
        <v>209</v>
      </c>
      <c r="C27">
        <f>C25+C26</f>
        <v>19.029403308963001</v>
      </c>
      <c r="D27">
        <f t="shared" ref="D27:W27" si="8">D25+D26</f>
        <v>57.58812778485067</v>
      </c>
      <c r="E27">
        <f t="shared" si="8"/>
        <v>112.17015970501953</v>
      </c>
      <c r="F27">
        <f t="shared" si="8"/>
        <v>182.00418837359348</v>
      </c>
      <c r="G27">
        <f t="shared" si="8"/>
        <v>266.67642522854942</v>
      </c>
      <c r="H27">
        <f t="shared" si="8"/>
        <v>365.82954444241187</v>
      </c>
      <c r="I27">
        <f t="shared" si="8"/>
        <v>478.28768751846815</v>
      </c>
      <c r="J27">
        <f t="shared" si="8"/>
        <v>604.88328502106458</v>
      </c>
      <c r="K27">
        <f t="shared" si="8"/>
        <v>745.64253805130886</v>
      </c>
      <c r="L27">
        <f t="shared" si="8"/>
        <v>900.73071318708276</v>
      </c>
      <c r="M27">
        <f t="shared" si="8"/>
        <v>1069.9940077143442</v>
      </c>
      <c r="N27">
        <f t="shared" si="8"/>
        <v>1248.1771905664452</v>
      </c>
      <c r="O27">
        <f t="shared" si="8"/>
        <v>1427.7752173540566</v>
      </c>
      <c r="P27">
        <f t="shared" si="8"/>
        <v>1609.8307382469718</v>
      </c>
      <c r="Q27">
        <f t="shared" si="8"/>
        <v>1794.0749122961734</v>
      </c>
      <c r="R27">
        <f t="shared" si="8"/>
        <v>1986.3801653720939</v>
      </c>
      <c r="S27">
        <f t="shared" si="8"/>
        <v>2188.2849251587127</v>
      </c>
      <c r="T27">
        <f t="shared" si="8"/>
        <v>2403.0153940164146</v>
      </c>
      <c r="U27">
        <f t="shared" si="8"/>
        <v>2623.0950577531844</v>
      </c>
      <c r="V27">
        <f t="shared" si="8"/>
        <v>2845.7428270252267</v>
      </c>
      <c r="W27">
        <f t="shared" si="8"/>
        <v>3052.840613564465</v>
      </c>
    </row>
    <row r="28" spans="2:23" x14ac:dyDescent="0.35">
      <c r="B28" t="s">
        <v>213</v>
      </c>
      <c r="C28" s="15">
        <f>C27/$W$27</f>
        <v>6.2333432097342505E-3</v>
      </c>
      <c r="D28" s="15">
        <f t="shared" ref="D28:N28" si="9">(D27-C27)/$W$27</f>
        <v>1.2630441400891515E-2</v>
      </c>
      <c r="E28" s="15">
        <f t="shared" si="9"/>
        <v>1.7879096497094699E-2</v>
      </c>
      <c r="F28" s="15">
        <f t="shared" si="9"/>
        <v>2.2875098149010953E-2</v>
      </c>
      <c r="G28" s="15">
        <f t="shared" si="9"/>
        <v>2.7735557656936933E-2</v>
      </c>
      <c r="H28" s="15">
        <f t="shared" si="9"/>
        <v>3.2478970167424591E-2</v>
      </c>
      <c r="I28" s="15">
        <f t="shared" si="9"/>
        <v>3.683721402826573E-2</v>
      </c>
      <c r="J28" s="15">
        <f t="shared" si="9"/>
        <v>4.1468131988320452E-2</v>
      </c>
      <c r="K28" s="15">
        <f t="shared" si="9"/>
        <v>4.6107632479998766E-2</v>
      </c>
      <c r="L28" s="15">
        <f t="shared" si="9"/>
        <v>5.0801268316033883E-2</v>
      </c>
      <c r="M28" s="15">
        <f t="shared" si="9"/>
        <v>5.5444523954243187E-2</v>
      </c>
      <c r="N28" s="15">
        <f t="shared" si="9"/>
        <v>5.8366356258624387E-2</v>
      </c>
      <c r="O28" s="15">
        <f t="shared" ref="O28" si="10">(O27-N27)/$W$27</f>
        <v>5.8829807881098185E-2</v>
      </c>
      <c r="P28" s="15">
        <f t="shared" ref="P28" si="11">(P27-O27)/$W$27</f>
        <v>5.9634793930610434E-2</v>
      </c>
      <c r="Q28" s="15">
        <f t="shared" ref="Q28" si="12">(Q27-P27)/$W$27</f>
        <v>6.0351717423622706E-2</v>
      </c>
      <c r="R28" s="15">
        <f t="shared" ref="R28" si="13">(R27-Q27)/$W$27</f>
        <v>6.2992234911139658E-2</v>
      </c>
      <c r="S28" s="15">
        <f t="shared" ref="S28" si="14">(S27-R27)/$W$27</f>
        <v>6.613668558047546E-2</v>
      </c>
      <c r="T28" s="15">
        <f t="shared" ref="T28" si="15">(T27-S27)/$W$27</f>
        <v>7.0337923278275843E-2</v>
      </c>
      <c r="U28" s="15">
        <f t="shared" ref="U28" si="16">(U27-T27)/$W$27</f>
        <v>7.2090125753341269E-2</v>
      </c>
      <c r="V28" s="15">
        <f t="shared" ref="V28" si="17">(V27-U27)/$W$27</f>
        <v>7.2931344100562484E-2</v>
      </c>
      <c r="W28" s="15">
        <f t="shared" ref="W28" si="18">(W27-V27)/$W$27</f>
        <v>6.7837733034294606E-2</v>
      </c>
    </row>
    <row r="29" spans="2:23" x14ac:dyDescent="0.35">
      <c r="B29" t="s">
        <v>211</v>
      </c>
      <c r="C29" s="15">
        <f>C27/$H$27</f>
        <v>5.2017130923548385E-2</v>
      </c>
      <c r="D29" s="15">
        <f>(D27-C27)/$H$27</f>
        <v>0.10540079406286855</v>
      </c>
      <c r="E29" s="15">
        <f>(E27-D27)/$H$27</f>
        <v>0.14920072134513196</v>
      </c>
      <c r="F29" s="15">
        <f>(F27-E27)/$H$27</f>
        <v>0.19089226042421809</v>
      </c>
      <c r="G29" s="15">
        <f>(G27-F27)/$H$27</f>
        <v>0.23145270288109512</v>
      </c>
      <c r="H29" s="15">
        <f>(H27-G27)/$H$27</f>
        <v>0.27103639036313792</v>
      </c>
      <c r="I29" s="15">
        <f>(I27-H27)/(W27-H27)</f>
        <v>4.1852504579670581E-2</v>
      </c>
      <c r="J29" s="15">
        <f t="shared" ref="J29:W29" si="19">(J27-I27)/($W$27-$H$27)</f>
        <v>4.7113909934118715E-2</v>
      </c>
      <c r="K29" s="15">
        <f t="shared" si="19"/>
        <v>5.2385066309472109E-2</v>
      </c>
      <c r="L29" s="15">
        <f t="shared" si="19"/>
        <v>5.7717728415032921E-2</v>
      </c>
      <c r="M29" s="15">
        <f t="shared" si="19"/>
        <v>6.2993151190317245E-2</v>
      </c>
      <c r="N29" s="15">
        <f t="shared" si="19"/>
        <v>6.6312783337479933E-2</v>
      </c>
      <c r="O29" s="15">
        <f t="shared" si="19"/>
        <v>6.6839332688827663E-2</v>
      </c>
      <c r="P29" s="15">
        <f t="shared" si="19"/>
        <v>6.7753915488111299E-2</v>
      </c>
      <c r="Q29" s="15">
        <f t="shared" si="19"/>
        <v>6.8568446243655046E-2</v>
      </c>
      <c r="R29" s="15">
        <f t="shared" si="19"/>
        <v>7.1568463295818813E-2</v>
      </c>
      <c r="S29" s="15">
        <f t="shared" si="19"/>
        <v>7.5141022717330544E-2</v>
      </c>
      <c r="T29" s="15">
        <f t="shared" si="19"/>
        <v>7.9914247963207077E-2</v>
      </c>
      <c r="U29" s="15">
        <f t="shared" si="19"/>
        <v>8.1905008232317431E-2</v>
      </c>
      <c r="V29" s="15">
        <f t="shared" si="19"/>
        <v>8.2860756262083307E-2</v>
      </c>
      <c r="W29" s="15">
        <f t="shared" si="19"/>
        <v>7.7073663342557386E-2</v>
      </c>
    </row>
    <row r="30" spans="2:23" x14ac:dyDescent="0.35">
      <c r="B30" t="s">
        <v>127</v>
      </c>
      <c r="C30">
        <v>1.5841263005773349</v>
      </c>
      <c r="D30">
        <v>4.910973380533493</v>
      </c>
      <c r="E30">
        <v>9.8380915894026231</v>
      </c>
      <c r="F30">
        <v>16.282311767119378</v>
      </c>
      <c r="G30">
        <v>24.036504991197692</v>
      </c>
      <c r="H30">
        <v>32.893597470223007</v>
      </c>
      <c r="I30">
        <v>42.662816606534676</v>
      </c>
      <c r="J30">
        <v>53.316701951102687</v>
      </c>
      <c r="K30">
        <v>64.825840507630545</v>
      </c>
      <c r="L30">
        <v>77.303346795284668</v>
      </c>
      <c r="M30">
        <v>90.913522783631834</v>
      </c>
      <c r="N30">
        <v>105.51804179347224</v>
      </c>
      <c r="O30">
        <v>120.60731555685808</v>
      </c>
      <c r="P30">
        <v>136.15176150718543</v>
      </c>
      <c r="Q30">
        <v>151.7553186460965</v>
      </c>
      <c r="R30">
        <v>167.40871774250911</v>
      </c>
      <c r="S30">
        <v>182.80942715354115</v>
      </c>
      <c r="T30">
        <v>218.84666223201143</v>
      </c>
      <c r="U30">
        <v>262.77724041675123</v>
      </c>
      <c r="V30">
        <v>303.05825175545948</v>
      </c>
      <c r="W30">
        <v>342.22761990821618</v>
      </c>
    </row>
    <row r="31" spans="2:23" x14ac:dyDescent="0.35">
      <c r="B31" t="s">
        <v>212</v>
      </c>
      <c r="C31" s="15">
        <f>C30/W30</f>
        <v>4.6288674800771196E-3</v>
      </c>
      <c r="D31" s="15">
        <f t="shared" ref="D31:W31" si="20">(D30-C30)/$W$30</f>
        <v>9.7211530759802565E-3</v>
      </c>
      <c r="E31" s="15">
        <f t="shared" si="20"/>
        <v>1.4397196258415845E-2</v>
      </c>
      <c r="F31" s="15">
        <f t="shared" si="20"/>
        <v>1.8830216507495987E-2</v>
      </c>
      <c r="G31" s="15">
        <f t="shared" si="20"/>
        <v>2.2657999451236435E-2</v>
      </c>
      <c r="H31" s="15">
        <f t="shared" si="20"/>
        <v>2.5880706184383203E-2</v>
      </c>
      <c r="I31" s="15">
        <f t="shared" si="20"/>
        <v>2.8545969314024762E-2</v>
      </c>
      <c r="J31" s="15">
        <f t="shared" si="20"/>
        <v>3.1130992137412321E-2</v>
      </c>
      <c r="K31" s="15">
        <f t="shared" si="20"/>
        <v>3.3630069249274953E-2</v>
      </c>
      <c r="L31" s="15">
        <f t="shared" si="20"/>
        <v>3.6459670587080405E-2</v>
      </c>
      <c r="M31" s="15">
        <f t="shared" si="20"/>
        <v>3.9769367510422884E-2</v>
      </c>
      <c r="N31" s="15">
        <f t="shared" si="20"/>
        <v>4.2674869473589727E-2</v>
      </c>
      <c r="O31" s="15">
        <f t="shared" si="20"/>
        <v>4.4091338295350675E-2</v>
      </c>
      <c r="P31" s="15">
        <f t="shared" si="20"/>
        <v>4.5421365915750134E-2</v>
      </c>
      <c r="Q31" s="15">
        <f t="shared" si="20"/>
        <v>4.5594090690563992E-2</v>
      </c>
      <c r="R31" s="15">
        <f t="shared" si="20"/>
        <v>4.5739730477074823E-2</v>
      </c>
      <c r="S31" s="15">
        <f t="shared" si="20"/>
        <v>4.5001363172155529E-2</v>
      </c>
      <c r="T31" s="15">
        <f t="shared" si="20"/>
        <v>0.10530194812486289</v>
      </c>
      <c r="U31" s="15">
        <f t="shared" si="20"/>
        <v>0.12836654796162206</v>
      </c>
      <c r="V31" s="15">
        <f t="shared" si="20"/>
        <v>0.11770239745556314</v>
      </c>
      <c r="W31" s="15">
        <f t="shared" si="20"/>
        <v>0.11445414067766284</v>
      </c>
    </row>
    <row r="35" spans="2:25" ht="18.5" x14ac:dyDescent="0.45">
      <c r="B35" s="22" t="s">
        <v>214</v>
      </c>
    </row>
    <row r="37" spans="2:25" ht="15" thickBot="1" x14ac:dyDescent="0.4">
      <c r="B37" s="2"/>
      <c r="D37">
        <v>1</v>
      </c>
      <c r="E37">
        <v>2</v>
      </c>
      <c r="F37">
        <v>3</v>
      </c>
      <c r="G37">
        <v>4</v>
      </c>
      <c r="H37">
        <v>5</v>
      </c>
      <c r="I37">
        <v>6</v>
      </c>
      <c r="J37">
        <v>7</v>
      </c>
      <c r="K37">
        <v>8</v>
      </c>
      <c r="L37">
        <v>9</v>
      </c>
      <c r="M37">
        <v>10</v>
      </c>
      <c r="N37">
        <v>11</v>
      </c>
      <c r="O37">
        <v>12</v>
      </c>
      <c r="P37">
        <v>13</v>
      </c>
      <c r="Q37">
        <v>14</v>
      </c>
      <c r="R37">
        <v>15</v>
      </c>
      <c r="S37">
        <v>16</v>
      </c>
      <c r="T37">
        <v>17</v>
      </c>
      <c r="U37">
        <v>18</v>
      </c>
      <c r="V37">
        <v>19</v>
      </c>
      <c r="W37">
        <v>20</v>
      </c>
    </row>
    <row r="38" spans="2:25" x14ac:dyDescent="0.35">
      <c r="B38" s="76" t="s">
        <v>10</v>
      </c>
      <c r="C38" s="67">
        <v>2020</v>
      </c>
      <c r="D38" s="67">
        <v>2021</v>
      </c>
      <c r="E38" s="67">
        <v>2022</v>
      </c>
      <c r="F38" s="67">
        <v>2023</v>
      </c>
      <c r="G38" s="67">
        <v>2024</v>
      </c>
      <c r="H38" s="67">
        <v>2025</v>
      </c>
      <c r="I38" s="67">
        <v>2026</v>
      </c>
      <c r="J38" s="67">
        <v>2027</v>
      </c>
      <c r="K38" s="67">
        <v>2028</v>
      </c>
      <c r="L38" s="67">
        <v>2029</v>
      </c>
      <c r="M38" s="67">
        <v>2030</v>
      </c>
      <c r="N38" s="67">
        <v>2031</v>
      </c>
      <c r="O38" s="67">
        <v>2032</v>
      </c>
      <c r="P38" s="67">
        <v>2033</v>
      </c>
      <c r="Q38" s="67">
        <v>2034</v>
      </c>
      <c r="R38" s="67">
        <v>2035</v>
      </c>
      <c r="S38" s="67">
        <v>2036</v>
      </c>
      <c r="T38" s="67">
        <v>2037</v>
      </c>
      <c r="U38" s="67">
        <v>2038</v>
      </c>
      <c r="V38" s="67">
        <v>2039</v>
      </c>
      <c r="W38" s="67">
        <v>2040</v>
      </c>
      <c r="X38" s="68" t="s">
        <v>142</v>
      </c>
    </row>
    <row r="39" spans="2:25" x14ac:dyDescent="0.35">
      <c r="B39" s="3" t="s">
        <v>146</v>
      </c>
      <c r="C39" s="69">
        <v>0</v>
      </c>
      <c r="D39" s="69">
        <v>0</v>
      </c>
      <c r="E39" s="69">
        <v>0</v>
      </c>
      <c r="F39" s="69">
        <v>0</v>
      </c>
      <c r="G39" s="69">
        <v>0</v>
      </c>
      <c r="H39" s="69">
        <v>0</v>
      </c>
      <c r="I39" s="69">
        <v>0</v>
      </c>
      <c r="J39" s="69">
        <v>0</v>
      </c>
      <c r="K39" s="69">
        <v>0</v>
      </c>
      <c r="L39" s="69">
        <v>0</v>
      </c>
      <c r="M39" s="69">
        <f>265000000/11</f>
        <v>24090909.09090909</v>
      </c>
      <c r="N39" s="69">
        <f t="shared" ref="N39:W39" si="21">265000000/11</f>
        <v>24090909.09090909</v>
      </c>
      <c r="O39" s="69">
        <f t="shared" si="21"/>
        <v>24090909.09090909</v>
      </c>
      <c r="P39" s="69">
        <f t="shared" si="21"/>
        <v>24090909.09090909</v>
      </c>
      <c r="Q39" s="69">
        <f t="shared" si="21"/>
        <v>24090909.09090909</v>
      </c>
      <c r="R39" s="69">
        <f t="shared" si="21"/>
        <v>24090909.09090909</v>
      </c>
      <c r="S39" s="69">
        <f t="shared" si="21"/>
        <v>24090909.09090909</v>
      </c>
      <c r="T39" s="69">
        <f t="shared" si="21"/>
        <v>24090909.09090909</v>
      </c>
      <c r="U39" s="69">
        <f t="shared" si="21"/>
        <v>24090909.09090909</v>
      </c>
      <c r="V39" s="69">
        <f t="shared" si="21"/>
        <v>24090909.09090909</v>
      </c>
      <c r="W39" s="69">
        <f t="shared" si="21"/>
        <v>24090909.09090909</v>
      </c>
      <c r="X39" s="70">
        <f>SUM(C39:W39)</f>
        <v>265000000</v>
      </c>
    </row>
    <row r="40" spans="2:25" x14ac:dyDescent="0.35">
      <c r="B40" s="3" t="s">
        <v>215</v>
      </c>
      <c r="C40" s="69">
        <f>14000000*C9</f>
        <v>666648.14172703517</v>
      </c>
      <c r="D40" s="69">
        <f t="shared" ref="D40:H40" si="22">14000000*D9</f>
        <v>1408645.0980702338</v>
      </c>
      <c r="E40" s="69">
        <f t="shared" si="22"/>
        <v>2098412.2262051646</v>
      </c>
      <c r="F40" s="69">
        <f t="shared" si="22"/>
        <v>2751420.48774273</v>
      </c>
      <c r="G40" s="69">
        <f t="shared" si="22"/>
        <v>3307851.9557194524</v>
      </c>
      <c r="H40" s="69">
        <f t="shared" si="22"/>
        <v>3767022.0905353841</v>
      </c>
      <c r="I40" s="69">
        <f>302000000*I9</f>
        <v>12179470.974710267</v>
      </c>
      <c r="J40" s="69">
        <f t="shared" ref="J40:W40" si="23">302000000*J9</f>
        <v>13219069.988241984</v>
      </c>
      <c r="K40" s="69">
        <f t="shared" si="23"/>
        <v>14217162.082402222</v>
      </c>
      <c r="L40" s="69">
        <f t="shared" si="23"/>
        <v>15370593.654922569</v>
      </c>
      <c r="M40" s="69">
        <f t="shared" si="23"/>
        <v>16763788.989650112</v>
      </c>
      <c r="N40" s="69">
        <f t="shared" si="23"/>
        <v>18822152.19333772</v>
      </c>
      <c r="O40" s="69">
        <f t="shared" si="23"/>
        <v>20332826.247302119</v>
      </c>
      <c r="P40" s="69">
        <f t="shared" si="23"/>
        <v>21823231.3757325</v>
      </c>
      <c r="Q40" s="69">
        <f t="shared" si="23"/>
        <v>22744735.959515784</v>
      </c>
      <c r="R40" s="69">
        <f t="shared" si="23"/>
        <v>23537206.592938073</v>
      </c>
      <c r="S40" s="69">
        <f t="shared" si="23"/>
        <v>23813237.74526583</v>
      </c>
      <c r="T40" s="69">
        <f t="shared" si="23"/>
        <v>24281578.17108557</v>
      </c>
      <c r="U40" s="69">
        <f t="shared" si="23"/>
        <v>24493008.747917075</v>
      </c>
      <c r="V40" s="69">
        <f t="shared" si="23"/>
        <v>25355395.4897925</v>
      </c>
      <c r="W40" s="69">
        <f t="shared" si="23"/>
        <v>25046541.787185691</v>
      </c>
      <c r="X40" s="70">
        <f>SUM(C40:W40)</f>
        <v>316000000</v>
      </c>
    </row>
    <row r="41" spans="2:25" x14ac:dyDescent="0.35">
      <c r="B41" s="3" t="s">
        <v>216</v>
      </c>
      <c r="C41" s="69">
        <v>0</v>
      </c>
      <c r="D41" s="69">
        <v>0</v>
      </c>
      <c r="E41" s="69">
        <v>0</v>
      </c>
      <c r="F41" s="69">
        <v>0</v>
      </c>
      <c r="G41" s="69">
        <v>0</v>
      </c>
      <c r="H41" s="69">
        <v>0</v>
      </c>
      <c r="I41" s="69">
        <v>0</v>
      </c>
      <c r="J41" s="69">
        <v>0</v>
      </c>
      <c r="K41" s="69">
        <v>0</v>
      </c>
      <c r="L41" s="69">
        <v>0</v>
      </c>
      <c r="M41" s="69">
        <f>136000000/11</f>
        <v>12363636.363636363</v>
      </c>
      <c r="N41" s="69">
        <f t="shared" ref="N41:W41" si="24">136000000/11</f>
        <v>12363636.363636363</v>
      </c>
      <c r="O41" s="69">
        <f t="shared" si="24"/>
        <v>12363636.363636363</v>
      </c>
      <c r="P41" s="69">
        <f t="shared" si="24"/>
        <v>12363636.363636363</v>
      </c>
      <c r="Q41" s="69">
        <f t="shared" si="24"/>
        <v>12363636.363636363</v>
      </c>
      <c r="R41" s="69">
        <f t="shared" si="24"/>
        <v>12363636.363636363</v>
      </c>
      <c r="S41" s="69">
        <f t="shared" si="24"/>
        <v>12363636.363636363</v>
      </c>
      <c r="T41" s="69">
        <f t="shared" si="24"/>
        <v>12363636.363636363</v>
      </c>
      <c r="U41" s="69">
        <f t="shared" si="24"/>
        <v>12363636.363636363</v>
      </c>
      <c r="V41" s="69">
        <f t="shared" si="24"/>
        <v>12363636.363636363</v>
      </c>
      <c r="W41" s="69">
        <f t="shared" si="24"/>
        <v>12363636.363636363</v>
      </c>
      <c r="X41" s="70">
        <f>SUM(C41:W41)</f>
        <v>135999999.99999997</v>
      </c>
    </row>
    <row r="42" spans="2:25" ht="15" thickBot="1" x14ac:dyDescent="0.4">
      <c r="B42" s="75" t="s">
        <v>156</v>
      </c>
      <c r="C42" s="71">
        <f>12000000*C9</f>
        <v>571412.69290888729</v>
      </c>
      <c r="D42" s="71">
        <f t="shared" ref="D42:H42" si="25">12000000*D9</f>
        <v>1207410.0840602005</v>
      </c>
      <c r="E42" s="71">
        <f t="shared" si="25"/>
        <v>1798639.0510329981</v>
      </c>
      <c r="F42" s="71">
        <f t="shared" si="25"/>
        <v>2358360.4180651968</v>
      </c>
      <c r="G42" s="71">
        <f t="shared" si="25"/>
        <v>2835301.6763309594</v>
      </c>
      <c r="H42" s="71">
        <f t="shared" si="25"/>
        <v>3228876.0776017578</v>
      </c>
      <c r="I42" s="71">
        <f>96000000*I9</f>
        <v>3871619.9124906808</v>
      </c>
      <c r="J42" s="71">
        <f t="shared" ref="J42:W42" si="26">96000000*J9</f>
        <v>4202088.4730835445</v>
      </c>
      <c r="K42" s="71">
        <f t="shared" si="26"/>
        <v>4519362.7811609711</v>
      </c>
      <c r="L42" s="71">
        <f t="shared" si="26"/>
        <v>4886016.5260681016</v>
      </c>
      <c r="M42" s="71">
        <f t="shared" si="26"/>
        <v>5328886.5662463931</v>
      </c>
      <c r="N42" s="71">
        <f t="shared" si="26"/>
        <v>5983200.6972199371</v>
      </c>
      <c r="O42" s="71">
        <f t="shared" si="26"/>
        <v>6463414.9660298126</v>
      </c>
      <c r="P42" s="71">
        <f t="shared" si="26"/>
        <v>6937186.1326831793</v>
      </c>
      <c r="Q42" s="71">
        <f t="shared" si="26"/>
        <v>7230114.7420977326</v>
      </c>
      <c r="R42" s="71">
        <f t="shared" si="26"/>
        <v>7482025.9368279967</v>
      </c>
      <c r="S42" s="71">
        <f t="shared" si="26"/>
        <v>7569770.9388924493</v>
      </c>
      <c r="T42" s="71">
        <f t="shared" si="26"/>
        <v>7718647.3656430952</v>
      </c>
      <c r="U42" s="71">
        <f t="shared" si="26"/>
        <v>7785857.0854305942</v>
      </c>
      <c r="V42" s="71">
        <f t="shared" si="26"/>
        <v>8059993.2682784097</v>
      </c>
      <c r="W42" s="71">
        <f t="shared" si="26"/>
        <v>7961814.6078471076</v>
      </c>
      <c r="X42" s="72">
        <f>SUM(C42:W42)</f>
        <v>108000000.00000001</v>
      </c>
    </row>
    <row r="43" spans="2:25" ht="15" thickTop="1" x14ac:dyDescent="0.35">
      <c r="B43" s="78" t="s">
        <v>142</v>
      </c>
      <c r="C43" s="79">
        <f>SUM(C39:C42)</f>
        <v>1238060.8346359225</v>
      </c>
      <c r="D43" s="79">
        <f t="shared" ref="D43:W43" si="27">SUM(D39:D42)</f>
        <v>2616055.1821304346</v>
      </c>
      <c r="E43" s="79">
        <f t="shared" si="27"/>
        <v>3897051.2772381627</v>
      </c>
      <c r="F43" s="79">
        <f t="shared" si="27"/>
        <v>5109780.9058079273</v>
      </c>
      <c r="G43" s="79">
        <f t="shared" si="27"/>
        <v>6143153.6320504118</v>
      </c>
      <c r="H43" s="79">
        <f t="shared" si="27"/>
        <v>6995898.1681371424</v>
      </c>
      <c r="I43" s="79">
        <f t="shared" si="27"/>
        <v>16051090.887200948</v>
      </c>
      <c r="J43" s="79">
        <f t="shared" si="27"/>
        <v>17421158.461325526</v>
      </c>
      <c r="K43" s="79">
        <f t="shared" si="27"/>
        <v>18736524.863563195</v>
      </c>
      <c r="L43" s="79">
        <f t="shared" si="27"/>
        <v>20256610.18099067</v>
      </c>
      <c r="M43" s="79">
        <f t="shared" si="27"/>
        <v>58547221.010441959</v>
      </c>
      <c r="N43" s="79">
        <f t="shared" si="27"/>
        <v>61259898.345103115</v>
      </c>
      <c r="O43" s="79">
        <f t="shared" si="27"/>
        <v>63250786.667877384</v>
      </c>
      <c r="P43" s="79">
        <f t="shared" si="27"/>
        <v>65214962.96296113</v>
      </c>
      <c r="Q43" s="79">
        <f t="shared" si="27"/>
        <v>66429396.156158969</v>
      </c>
      <c r="R43" s="79">
        <f t="shared" si="27"/>
        <v>67473777.984311521</v>
      </c>
      <c r="S43" s="79">
        <f t="shared" si="27"/>
        <v>67837554.138703734</v>
      </c>
      <c r="T43" s="79">
        <f t="shared" si="27"/>
        <v>68454770.991274118</v>
      </c>
      <c r="U43" s="79">
        <f t="shared" si="27"/>
        <v>68733411.287893116</v>
      </c>
      <c r="V43" s="79">
        <f t="shared" si="27"/>
        <v>69869934.212616354</v>
      </c>
      <c r="W43" s="79">
        <f t="shared" si="27"/>
        <v>69462901.849578246</v>
      </c>
      <c r="X43" s="80">
        <f>SUM(C43:W43)</f>
        <v>825000000</v>
      </c>
    </row>
    <row r="44" spans="2:25" ht="15" thickBot="1" x14ac:dyDescent="0.4">
      <c r="B44" s="4" t="s">
        <v>217</v>
      </c>
      <c r="C44" s="81">
        <f>C43</f>
        <v>1238060.8346359225</v>
      </c>
      <c r="D44" s="81">
        <f t="shared" ref="D44:N44" si="28">C44+D43</f>
        <v>3854116.0167663572</v>
      </c>
      <c r="E44" s="81">
        <f t="shared" si="28"/>
        <v>7751167.2940045204</v>
      </c>
      <c r="F44" s="81">
        <f t="shared" si="28"/>
        <v>12860948.199812448</v>
      </c>
      <c r="G44" s="81">
        <f t="shared" si="28"/>
        <v>19004101.831862859</v>
      </c>
      <c r="H44" s="81">
        <f t="shared" si="28"/>
        <v>26000000</v>
      </c>
      <c r="I44" s="81">
        <f t="shared" si="28"/>
        <v>42051090.887200952</v>
      </c>
      <c r="J44" s="81">
        <f t="shared" si="28"/>
        <v>59472249.348526478</v>
      </c>
      <c r="K44" s="81">
        <f t="shared" si="28"/>
        <v>78208774.212089673</v>
      </c>
      <c r="L44" s="81">
        <f t="shared" si="28"/>
        <v>98465384.393080339</v>
      </c>
      <c r="M44" s="81">
        <f t="shared" si="28"/>
        <v>157012605.40352231</v>
      </c>
      <c r="N44" s="81">
        <f t="shared" si="28"/>
        <v>218272503.74862543</v>
      </c>
      <c r="O44" s="81">
        <f t="shared" ref="O44:W44" si="29">N44+O43</f>
        <v>281523290.41650283</v>
      </c>
      <c r="P44" s="81">
        <f t="shared" si="29"/>
        <v>346738253.37946397</v>
      </c>
      <c r="Q44" s="81">
        <f t="shared" si="29"/>
        <v>413167649.53562295</v>
      </c>
      <c r="R44" s="81">
        <f t="shared" si="29"/>
        <v>480641427.51993448</v>
      </c>
      <c r="S44" s="81">
        <f t="shared" si="29"/>
        <v>548478981.65863824</v>
      </c>
      <c r="T44" s="81">
        <f t="shared" si="29"/>
        <v>616933752.64991236</v>
      </c>
      <c r="U44" s="81">
        <f t="shared" si="29"/>
        <v>685667163.93780541</v>
      </c>
      <c r="V44" s="81">
        <f t="shared" si="29"/>
        <v>755537098.15042174</v>
      </c>
      <c r="W44" s="81">
        <f t="shared" si="29"/>
        <v>825000000</v>
      </c>
      <c r="X44" s="82"/>
      <c r="Y44" s="35" t="s">
        <v>218</v>
      </c>
    </row>
    <row r="45" spans="2:25" s="239" customFormat="1" x14ac:dyDescent="0.35">
      <c r="B45" s="236" t="s">
        <v>219</v>
      </c>
      <c r="C45" s="237">
        <f>C43</f>
        <v>1238060.8346359225</v>
      </c>
      <c r="D45" s="237">
        <f>D43*(1.03)^D37</f>
        <v>2694536.8375943475</v>
      </c>
      <c r="E45" s="237">
        <f t="shared" ref="E45:W45" si="30">E43*(1.03)^E37</f>
        <v>4134381.7000219668</v>
      </c>
      <c r="F45" s="237">
        <f t="shared" si="30"/>
        <v>5583595.559860779</v>
      </c>
      <c r="G45" s="237">
        <f t="shared" si="30"/>
        <v>6914173.534056236</v>
      </c>
      <c r="H45" s="237">
        <f t="shared" si="30"/>
        <v>8110163.3727642503</v>
      </c>
      <c r="I45" s="237">
        <f t="shared" si="30"/>
        <v>19165841.935657993</v>
      </c>
      <c r="J45" s="237">
        <f t="shared" si="30"/>
        <v>21425827.497009605</v>
      </c>
      <c r="K45" s="237">
        <f t="shared" si="30"/>
        <v>23734869.126337036</v>
      </c>
      <c r="L45" s="237">
        <f t="shared" si="30"/>
        <v>26430281.759439085</v>
      </c>
      <c r="M45" s="237">
        <f t="shared" si="30"/>
        <v>78682569.28101325</v>
      </c>
      <c r="N45" s="237">
        <f t="shared" si="30"/>
        <v>84798026.20642814</v>
      </c>
      <c r="O45" s="237">
        <f>O43*(1.03)^O37</f>
        <v>90180497.693311304</v>
      </c>
      <c r="P45" s="237">
        <f t="shared" si="30"/>
        <v>95770371.73260352</v>
      </c>
      <c r="Q45" s="237">
        <f t="shared" si="30"/>
        <v>100480422.05413567</v>
      </c>
      <c r="R45" s="237">
        <f t="shared" si="30"/>
        <v>105121947.57451135</v>
      </c>
      <c r="S45" s="237">
        <f t="shared" si="30"/>
        <v>108859359.93909046</v>
      </c>
      <c r="T45" s="237">
        <f t="shared" si="30"/>
        <v>113145306.15063235</v>
      </c>
      <c r="U45" s="237">
        <f t="shared" si="30"/>
        <v>117014031.7883092</v>
      </c>
      <c r="V45" s="237">
        <f t="shared" si="30"/>
        <v>122517352.56992155</v>
      </c>
      <c r="W45" s="237">
        <f t="shared" si="30"/>
        <v>125457727.42326203</v>
      </c>
      <c r="X45" s="238">
        <f>SUM(C45:W45)</f>
        <v>1261459344.5705965</v>
      </c>
      <c r="Y45" s="240">
        <f>X45-X43</f>
        <v>436459344.57059646</v>
      </c>
    </row>
    <row r="46" spans="2:25" s="239" customFormat="1" x14ac:dyDescent="0.35">
      <c r="B46" s="236" t="s">
        <v>220</v>
      </c>
      <c r="C46" s="237">
        <f>C45</f>
        <v>1238060.8346359225</v>
      </c>
      <c r="D46" s="237">
        <f t="shared" ref="D46:N46" si="31">C46+D45</f>
        <v>3932597.6722302698</v>
      </c>
      <c r="E46" s="237">
        <f t="shared" si="31"/>
        <v>8066979.3722522371</v>
      </c>
      <c r="F46" s="237">
        <f t="shared" si="31"/>
        <v>13650574.932113016</v>
      </c>
      <c r="G46" s="237">
        <f t="shared" si="31"/>
        <v>20564748.466169253</v>
      </c>
      <c r="H46" s="237">
        <f t="shared" si="31"/>
        <v>28674911.838933505</v>
      </c>
      <c r="I46" s="237">
        <f t="shared" si="31"/>
        <v>47840753.774591498</v>
      </c>
      <c r="J46" s="237">
        <f t="shared" si="31"/>
        <v>69266581.271601111</v>
      </c>
      <c r="K46" s="237">
        <f t="shared" si="31"/>
        <v>93001450.397938147</v>
      </c>
      <c r="L46" s="237">
        <f t="shared" si="31"/>
        <v>119431732.15737723</v>
      </c>
      <c r="M46" s="237">
        <f t="shared" si="31"/>
        <v>198114301.43839049</v>
      </c>
      <c r="N46" s="237">
        <f t="shared" si="31"/>
        <v>282912327.64481866</v>
      </c>
      <c r="O46" s="237">
        <f t="shared" ref="O46:W46" si="32">N46+O45</f>
        <v>373092825.33813</v>
      </c>
      <c r="P46" s="237">
        <f t="shared" si="32"/>
        <v>468863197.07073355</v>
      </c>
      <c r="Q46" s="237">
        <f t="shared" si="32"/>
        <v>569343619.12486923</v>
      </c>
      <c r="R46" s="237">
        <f t="shared" si="32"/>
        <v>674465566.69938064</v>
      </c>
      <c r="S46" s="237">
        <f t="shared" si="32"/>
        <v>783324926.63847113</v>
      </c>
      <c r="T46" s="237">
        <f t="shared" si="32"/>
        <v>896470232.78910351</v>
      </c>
      <c r="U46" s="237">
        <f t="shared" si="32"/>
        <v>1013484264.5774127</v>
      </c>
      <c r="V46" s="237">
        <f t="shared" si="32"/>
        <v>1136001617.1473343</v>
      </c>
      <c r="W46" s="237">
        <f t="shared" si="32"/>
        <v>1261459344.5705965</v>
      </c>
      <c r="X46" s="238"/>
    </row>
    <row r="47" spans="2:25" s="239" customFormat="1" x14ac:dyDescent="0.35">
      <c r="B47" s="236" t="s">
        <v>221</v>
      </c>
      <c r="C47" s="237">
        <f>C45-C43</f>
        <v>0</v>
      </c>
      <c r="D47" s="237">
        <f t="shared" ref="D47:W47" si="33">D45-D43</f>
        <v>78481.65546391299</v>
      </c>
      <c r="E47" s="237">
        <f t="shared" si="33"/>
        <v>237330.42278380413</v>
      </c>
      <c r="F47" s="237">
        <f t="shared" si="33"/>
        <v>473814.65405285172</v>
      </c>
      <c r="G47" s="237">
        <f t="shared" si="33"/>
        <v>771019.90200582426</v>
      </c>
      <c r="H47" s="237">
        <f t="shared" si="33"/>
        <v>1114265.2046271078</v>
      </c>
      <c r="I47" s="237">
        <f t="shared" si="33"/>
        <v>3114751.0484570451</v>
      </c>
      <c r="J47" s="237">
        <f t="shared" si="33"/>
        <v>4004669.0356840789</v>
      </c>
      <c r="K47" s="237">
        <f t="shared" si="33"/>
        <v>4998344.2627738416</v>
      </c>
      <c r="L47" s="237">
        <f t="shared" si="33"/>
        <v>6173671.5784484148</v>
      </c>
      <c r="M47" s="237">
        <f t="shared" si="33"/>
        <v>20135348.270571291</v>
      </c>
      <c r="N47" s="237">
        <f t="shared" si="33"/>
        <v>23538127.861325026</v>
      </c>
      <c r="O47" s="237">
        <f t="shared" si="33"/>
        <v>26929711.02543392</v>
      </c>
      <c r="P47" s="237">
        <f t="shared" si="33"/>
        <v>30555408.76964239</v>
      </c>
      <c r="Q47" s="237">
        <f t="shared" si="33"/>
        <v>34051025.897976696</v>
      </c>
      <c r="R47" s="237">
        <f t="shared" si="33"/>
        <v>37648169.590199828</v>
      </c>
      <c r="S47" s="237">
        <f t="shared" si="33"/>
        <v>41021805.800386727</v>
      </c>
      <c r="T47" s="237">
        <f t="shared" si="33"/>
        <v>44690535.159358233</v>
      </c>
      <c r="U47" s="237">
        <f t="shared" si="33"/>
        <v>48280620.500416085</v>
      </c>
      <c r="V47" s="237">
        <f t="shared" si="33"/>
        <v>52647418.357305199</v>
      </c>
      <c r="W47" s="237">
        <f t="shared" si="33"/>
        <v>55994825.573683783</v>
      </c>
      <c r="X47" s="238"/>
    </row>
    <row r="48" spans="2:25" s="239" customFormat="1" ht="15" thickBot="1" x14ac:dyDescent="0.4">
      <c r="B48" s="236" t="s">
        <v>222</v>
      </c>
      <c r="C48" s="237">
        <f>C46-C44</f>
        <v>0</v>
      </c>
      <c r="D48" s="237">
        <f t="shared" ref="D48:W48" si="34">D46-D44</f>
        <v>78481.655463912524</v>
      </c>
      <c r="E48" s="237">
        <f t="shared" si="34"/>
        <v>315812.07824771665</v>
      </c>
      <c r="F48" s="237">
        <f t="shared" si="34"/>
        <v>789626.73230056837</v>
      </c>
      <c r="G48" s="237">
        <f t="shared" si="34"/>
        <v>1560646.6343063936</v>
      </c>
      <c r="H48" s="237">
        <f t="shared" si="34"/>
        <v>2674911.8389335051</v>
      </c>
      <c r="I48" s="237">
        <f t="shared" si="34"/>
        <v>5789662.8873905465</v>
      </c>
      <c r="J48" s="237">
        <f t="shared" si="34"/>
        <v>9794331.9230746329</v>
      </c>
      <c r="K48" s="237">
        <f t="shared" si="34"/>
        <v>14792676.185848475</v>
      </c>
      <c r="L48" s="237">
        <f t="shared" si="34"/>
        <v>20966347.764296889</v>
      </c>
      <c r="M48" s="237">
        <f t="shared" si="34"/>
        <v>41101696.034868181</v>
      </c>
      <c r="N48" s="237">
        <f t="shared" si="34"/>
        <v>64639823.896193236</v>
      </c>
      <c r="O48" s="237">
        <f t="shared" si="34"/>
        <v>91569534.921627164</v>
      </c>
      <c r="P48" s="237">
        <f t="shared" si="34"/>
        <v>122124943.69126958</v>
      </c>
      <c r="Q48" s="237">
        <f t="shared" si="34"/>
        <v>156175969.58924627</v>
      </c>
      <c r="R48" s="237">
        <f t="shared" si="34"/>
        <v>193824139.17944616</v>
      </c>
      <c r="S48" s="237">
        <f t="shared" si="34"/>
        <v>234845944.97983289</v>
      </c>
      <c r="T48" s="237">
        <f t="shared" si="34"/>
        <v>279536480.13919115</v>
      </c>
      <c r="U48" s="237">
        <f t="shared" si="34"/>
        <v>327817100.63960731</v>
      </c>
      <c r="V48" s="237">
        <f t="shared" si="34"/>
        <v>380464518.9969126</v>
      </c>
      <c r="W48" s="237">
        <f t="shared" si="34"/>
        <v>436459344.57059646</v>
      </c>
      <c r="X48" s="238"/>
    </row>
    <row r="49" spans="2:24" x14ac:dyDescent="0.35">
      <c r="B49" s="76" t="s">
        <v>11</v>
      </c>
      <c r="C49" s="67">
        <v>2020</v>
      </c>
      <c r="D49" s="67">
        <v>2021</v>
      </c>
      <c r="E49" s="67">
        <v>2022</v>
      </c>
      <c r="F49" s="67">
        <v>2023</v>
      </c>
      <c r="G49" s="67">
        <v>2024</v>
      </c>
      <c r="H49" s="67">
        <v>2025</v>
      </c>
      <c r="I49" s="67">
        <v>2026</v>
      </c>
      <c r="J49" s="67">
        <v>2027</v>
      </c>
      <c r="K49" s="67">
        <v>2028</v>
      </c>
      <c r="L49" s="67">
        <v>2029</v>
      </c>
      <c r="M49" s="67">
        <v>2030</v>
      </c>
      <c r="N49" s="67">
        <v>2031</v>
      </c>
      <c r="O49" s="67">
        <v>2032</v>
      </c>
      <c r="P49" s="67">
        <v>2033</v>
      </c>
      <c r="Q49" s="67">
        <v>2034</v>
      </c>
      <c r="R49" s="67">
        <v>2035</v>
      </c>
      <c r="S49" s="67">
        <v>2036</v>
      </c>
      <c r="T49" s="67">
        <v>2037</v>
      </c>
      <c r="U49" s="67">
        <v>2038</v>
      </c>
      <c r="V49" s="67">
        <v>2039</v>
      </c>
      <c r="W49" s="67">
        <v>2040</v>
      </c>
      <c r="X49" s="68" t="s">
        <v>142</v>
      </c>
    </row>
    <row r="50" spans="2:24" x14ac:dyDescent="0.35">
      <c r="B50" s="3" t="s">
        <v>146</v>
      </c>
      <c r="C50" s="69">
        <v>0</v>
      </c>
      <c r="D50" s="69">
        <v>0</v>
      </c>
      <c r="E50" s="69">
        <v>0</v>
      </c>
      <c r="F50" s="69">
        <v>0</v>
      </c>
      <c r="G50" s="69">
        <v>0</v>
      </c>
      <c r="H50" s="69">
        <v>0</v>
      </c>
      <c r="I50" s="69">
        <v>0</v>
      </c>
      <c r="J50" s="69">
        <v>0</v>
      </c>
      <c r="K50" s="69">
        <v>0</v>
      </c>
      <c r="L50" s="69">
        <v>0</v>
      </c>
      <c r="M50" s="69">
        <f>311000000/11</f>
        <v>28272727.272727273</v>
      </c>
      <c r="N50" s="69">
        <f t="shared" ref="N50:W50" si="35">311000000/11</f>
        <v>28272727.272727273</v>
      </c>
      <c r="O50" s="69">
        <f t="shared" si="35"/>
        <v>28272727.272727273</v>
      </c>
      <c r="P50" s="69">
        <f t="shared" si="35"/>
        <v>28272727.272727273</v>
      </c>
      <c r="Q50" s="69">
        <f t="shared" si="35"/>
        <v>28272727.272727273</v>
      </c>
      <c r="R50" s="69">
        <f t="shared" si="35"/>
        <v>28272727.272727273</v>
      </c>
      <c r="S50" s="69">
        <f t="shared" si="35"/>
        <v>28272727.272727273</v>
      </c>
      <c r="T50" s="69">
        <f t="shared" si="35"/>
        <v>28272727.272727273</v>
      </c>
      <c r="U50" s="69">
        <f t="shared" si="35"/>
        <v>28272727.272727273</v>
      </c>
      <c r="V50" s="69">
        <f t="shared" si="35"/>
        <v>28272727.272727273</v>
      </c>
      <c r="W50" s="69">
        <f t="shared" si="35"/>
        <v>28272727.272727273</v>
      </c>
      <c r="X50" s="70">
        <f>SUM(C50:W50)</f>
        <v>311000000</v>
      </c>
    </row>
    <row r="51" spans="2:24" x14ac:dyDescent="0.35">
      <c r="B51" s="3" t="s">
        <v>215</v>
      </c>
      <c r="C51" s="69">
        <f>35000000*C19</f>
        <v>1796873.8868712846</v>
      </c>
      <c r="D51" s="69">
        <f t="shared" ref="D51:H51" si="36">35000000*D19</f>
        <v>3656582.561180227</v>
      </c>
      <c r="E51" s="69">
        <f t="shared" si="36"/>
        <v>5224060.2643691516</v>
      </c>
      <c r="F51" s="69">
        <f t="shared" si="36"/>
        <v>6717776.4881976014</v>
      </c>
      <c r="G51" s="69">
        <f t="shared" si="36"/>
        <v>8131701.3999810461</v>
      </c>
      <c r="H51" s="69">
        <f t="shared" si="36"/>
        <v>9473005.3994006887</v>
      </c>
      <c r="I51" s="69">
        <f>611000000*I19</f>
        <v>21607660.422820937</v>
      </c>
      <c r="J51" s="69">
        <f t="shared" ref="J51:W51" si="37">611000000*J19</f>
        <v>24202826.414938908</v>
      </c>
      <c r="K51" s="69">
        <f t="shared" si="37"/>
        <v>26788716.291158609</v>
      </c>
      <c r="L51" s="69">
        <f t="shared" si="37"/>
        <v>29458129.086022235</v>
      </c>
      <c r="M51" s="69">
        <f t="shared" si="37"/>
        <v>32155886.891527213</v>
      </c>
      <c r="N51" s="69">
        <f t="shared" si="37"/>
        <v>35589067.131180748</v>
      </c>
      <c r="O51" s="69">
        <f t="shared" si="37"/>
        <v>37654417.052856326</v>
      </c>
      <c r="P51" s="69">
        <f t="shared" si="37"/>
        <v>39860642.179517552</v>
      </c>
      <c r="Q51" s="69">
        <f t="shared" si="37"/>
        <v>41890402.526483782</v>
      </c>
      <c r="R51" s="69">
        <f t="shared" si="37"/>
        <v>45090159.862922981</v>
      </c>
      <c r="S51" s="69">
        <f t="shared" si="37"/>
        <v>48815464.276417375</v>
      </c>
      <c r="T51" s="69">
        <f t="shared" si="37"/>
        <v>53503679.091208152</v>
      </c>
      <c r="U51" s="69">
        <f t="shared" si="37"/>
        <v>56766566.342879333</v>
      </c>
      <c r="V51" s="69">
        <f t="shared" si="37"/>
        <v>59426847.950782277</v>
      </c>
      <c r="W51" s="69">
        <f t="shared" si="37"/>
        <v>58189534.479283519</v>
      </c>
      <c r="X51" s="70">
        <f>SUM(C51:W51)</f>
        <v>646000000</v>
      </c>
    </row>
    <row r="52" spans="2:24" x14ac:dyDescent="0.35">
      <c r="B52" s="3" t="s">
        <v>216</v>
      </c>
      <c r="C52" s="69">
        <v>0</v>
      </c>
      <c r="D52" s="69">
        <v>0</v>
      </c>
      <c r="E52" s="69">
        <v>0</v>
      </c>
      <c r="F52" s="69">
        <v>0</v>
      </c>
      <c r="G52" s="69">
        <v>0</v>
      </c>
      <c r="H52" s="69">
        <v>0</v>
      </c>
      <c r="I52" s="69">
        <v>0</v>
      </c>
      <c r="J52" s="69">
        <v>0</v>
      </c>
      <c r="K52" s="69">
        <v>0</v>
      </c>
      <c r="L52" s="69">
        <v>0</v>
      </c>
      <c r="M52" s="69">
        <f>136000000/11</f>
        <v>12363636.363636363</v>
      </c>
      <c r="N52" s="69">
        <f t="shared" ref="N52:W52" si="38">136000000/11</f>
        <v>12363636.363636363</v>
      </c>
      <c r="O52" s="69">
        <f t="shared" si="38"/>
        <v>12363636.363636363</v>
      </c>
      <c r="P52" s="69">
        <f t="shared" si="38"/>
        <v>12363636.363636363</v>
      </c>
      <c r="Q52" s="69">
        <f t="shared" si="38"/>
        <v>12363636.363636363</v>
      </c>
      <c r="R52" s="69">
        <f t="shared" si="38"/>
        <v>12363636.363636363</v>
      </c>
      <c r="S52" s="69">
        <f t="shared" si="38"/>
        <v>12363636.363636363</v>
      </c>
      <c r="T52" s="69">
        <f t="shared" si="38"/>
        <v>12363636.363636363</v>
      </c>
      <c r="U52" s="69">
        <f t="shared" si="38"/>
        <v>12363636.363636363</v>
      </c>
      <c r="V52" s="69">
        <f t="shared" si="38"/>
        <v>12363636.363636363</v>
      </c>
      <c r="W52" s="69">
        <f t="shared" si="38"/>
        <v>12363636.363636363</v>
      </c>
      <c r="X52" s="70">
        <f>SUM(C52:W52)</f>
        <v>135999999.99999997</v>
      </c>
    </row>
    <row r="53" spans="2:24" ht="15" thickBot="1" x14ac:dyDescent="0.4">
      <c r="B53" s="75" t="s">
        <v>223</v>
      </c>
      <c r="C53" s="71">
        <f>142000000*C19</f>
        <v>7290174.0553063545</v>
      </c>
      <c r="D53" s="71">
        <f t="shared" ref="D53:H53" si="39">142000000*D19</f>
        <v>14835277.819645492</v>
      </c>
      <c r="E53" s="71">
        <f t="shared" si="39"/>
        <v>21194758.786869131</v>
      </c>
      <c r="F53" s="71">
        <f t="shared" si="39"/>
        <v>27254978.894973125</v>
      </c>
      <c r="G53" s="71">
        <f t="shared" si="39"/>
        <v>32991474.251351673</v>
      </c>
      <c r="H53" s="71">
        <f t="shared" si="39"/>
        <v>38433336.191854216</v>
      </c>
      <c r="I53" s="71">
        <f>1348000000*I19</f>
        <v>47671237.724979743</v>
      </c>
      <c r="J53" s="71">
        <f t="shared" ref="J53:W53" si="40">1348000000*J19</f>
        <v>53396743.056199096</v>
      </c>
      <c r="K53" s="71">
        <f t="shared" si="40"/>
        <v>59101783.241377756</v>
      </c>
      <c r="L53" s="71">
        <f t="shared" si="40"/>
        <v>64991093.302713543</v>
      </c>
      <c r="M53" s="71">
        <f t="shared" si="40"/>
        <v>70942938.673942193</v>
      </c>
      <c r="N53" s="71">
        <f t="shared" si="40"/>
        <v>78517287.222310394</v>
      </c>
      <c r="O53" s="71">
        <f t="shared" si="40"/>
        <v>83073902.106792688</v>
      </c>
      <c r="P53" s="71">
        <f t="shared" si="40"/>
        <v>87941318.58918111</v>
      </c>
      <c r="Q53" s="71">
        <f t="shared" si="40"/>
        <v>92419415.066612333</v>
      </c>
      <c r="R53" s="71">
        <f t="shared" si="40"/>
        <v>99478781.497905374</v>
      </c>
      <c r="S53" s="71">
        <f t="shared" si="40"/>
        <v>107697620.04027925</v>
      </c>
      <c r="T53" s="71">
        <f t="shared" si="40"/>
        <v>118040850.10629883</v>
      </c>
      <c r="U53" s="71">
        <f t="shared" si="40"/>
        <v>125239494.97577961</v>
      </c>
      <c r="V53" s="71">
        <f t="shared" si="40"/>
        <v>131108659.63609576</v>
      </c>
      <c r="W53" s="71">
        <f t="shared" si="40"/>
        <v>128378874.75953221</v>
      </c>
      <c r="X53" s="72">
        <f>SUM(C53:W53)</f>
        <v>1490000000</v>
      </c>
    </row>
    <row r="54" spans="2:24" ht="15" thickTop="1" x14ac:dyDescent="0.35">
      <c r="B54" s="78" t="s">
        <v>142</v>
      </c>
      <c r="C54" s="79">
        <f t="shared" ref="C54:W54" si="41">SUM(C50:C53)</f>
        <v>9087047.9421776384</v>
      </c>
      <c r="D54" s="79">
        <f t="shared" si="41"/>
        <v>18491860.380825721</v>
      </c>
      <c r="E54" s="79">
        <f t="shared" si="41"/>
        <v>26418819.051238284</v>
      </c>
      <c r="F54" s="79">
        <f t="shared" si="41"/>
        <v>33972755.383170724</v>
      </c>
      <c r="G54" s="79">
        <f t="shared" si="41"/>
        <v>41123175.651332721</v>
      </c>
      <c r="H54" s="79">
        <f t="shared" si="41"/>
        <v>47906341.591254905</v>
      </c>
      <c r="I54" s="79">
        <f t="shared" si="41"/>
        <v>69278898.147800684</v>
      </c>
      <c r="J54" s="79">
        <f t="shared" si="41"/>
        <v>77599569.471138</v>
      </c>
      <c r="K54" s="79">
        <f t="shared" si="41"/>
        <v>85890499.532536358</v>
      </c>
      <c r="L54" s="79">
        <f t="shared" si="41"/>
        <v>94449222.388735771</v>
      </c>
      <c r="M54" s="79">
        <f t="shared" si="41"/>
        <v>143735189.20183304</v>
      </c>
      <c r="N54" s="79">
        <f t="shared" si="41"/>
        <v>154742717.98985478</v>
      </c>
      <c r="O54" s="79">
        <f t="shared" si="41"/>
        <v>161364682.79601264</v>
      </c>
      <c r="P54" s="79">
        <f t="shared" si="41"/>
        <v>168438324.40506229</v>
      </c>
      <c r="Q54" s="79">
        <f t="shared" si="41"/>
        <v>174946181.22945976</v>
      </c>
      <c r="R54" s="79">
        <f t="shared" si="41"/>
        <v>185205304.99719197</v>
      </c>
      <c r="S54" s="79">
        <f t="shared" si="41"/>
        <v>197149447.95306027</v>
      </c>
      <c r="T54" s="79">
        <f t="shared" si="41"/>
        <v>212180892.83387062</v>
      </c>
      <c r="U54" s="79">
        <f t="shared" si="41"/>
        <v>222642424.95502257</v>
      </c>
      <c r="V54" s="79">
        <f t="shared" si="41"/>
        <v>231171871.22324169</v>
      </c>
      <c r="W54" s="79">
        <f t="shared" si="41"/>
        <v>227204772.87517935</v>
      </c>
      <c r="X54" s="80">
        <f>SUM(X50:X53)</f>
        <v>2583000000</v>
      </c>
    </row>
    <row r="55" spans="2:24" ht="15" thickBot="1" x14ac:dyDescent="0.4">
      <c r="B55" s="4" t="s">
        <v>217</v>
      </c>
      <c r="C55" s="81">
        <f>C54</f>
        <v>9087047.9421776384</v>
      </c>
      <c r="D55" s="81">
        <f t="shared" ref="D55:N55" si="42">C55+D54</f>
        <v>27578908.323003359</v>
      </c>
      <c r="E55" s="81">
        <f t="shared" si="42"/>
        <v>53997727.374241643</v>
      </c>
      <c r="F55" s="81">
        <f t="shared" si="42"/>
        <v>87970482.757412374</v>
      </c>
      <c r="G55" s="81">
        <f t="shared" si="42"/>
        <v>129093658.4087451</v>
      </c>
      <c r="H55" s="81">
        <f t="shared" si="42"/>
        <v>177000000</v>
      </c>
      <c r="I55" s="81">
        <f t="shared" si="42"/>
        <v>246278898.14780068</v>
      </c>
      <c r="J55" s="81">
        <f t="shared" si="42"/>
        <v>323878467.61893868</v>
      </c>
      <c r="K55" s="81">
        <f t="shared" si="42"/>
        <v>409768967.15147507</v>
      </c>
      <c r="L55" s="81">
        <f t="shared" si="42"/>
        <v>504218189.54021084</v>
      </c>
      <c r="M55" s="81">
        <f t="shared" si="42"/>
        <v>647953378.74204385</v>
      </c>
      <c r="N55" s="81">
        <f t="shared" si="42"/>
        <v>802696096.73189867</v>
      </c>
      <c r="O55" s="81">
        <f t="shared" ref="O55:W55" si="43">N55+O54</f>
        <v>964060779.52791131</v>
      </c>
      <c r="P55" s="81">
        <f t="shared" si="43"/>
        <v>1132499103.9329736</v>
      </c>
      <c r="Q55" s="81">
        <f t="shared" si="43"/>
        <v>1307445285.1624334</v>
      </c>
      <c r="R55" s="81">
        <f t="shared" si="43"/>
        <v>1492650590.1596253</v>
      </c>
      <c r="S55" s="81">
        <f t="shared" si="43"/>
        <v>1689800038.1126857</v>
      </c>
      <c r="T55" s="81">
        <f t="shared" si="43"/>
        <v>1901980930.9465563</v>
      </c>
      <c r="U55" s="81">
        <f t="shared" si="43"/>
        <v>2124623355.9015789</v>
      </c>
      <c r="V55" s="81">
        <f t="shared" si="43"/>
        <v>2355795227.1248207</v>
      </c>
      <c r="W55" s="81">
        <f t="shared" si="43"/>
        <v>2583000000</v>
      </c>
      <c r="X55" s="82"/>
    </row>
    <row r="56" spans="2:24" s="239" customFormat="1" x14ac:dyDescent="0.35">
      <c r="B56" s="236" t="s">
        <v>224</v>
      </c>
      <c r="C56" s="237">
        <f>C54</f>
        <v>9087047.9421776384</v>
      </c>
      <c r="D56" s="237">
        <f>D54*(1.03)^D37</f>
        <v>19046616.192250494</v>
      </c>
      <c r="E56" s="237">
        <f t="shared" ref="E56:W56" si="44">E54*(1.03)^E37</f>
        <v>28027725.131458692</v>
      </c>
      <c r="F56" s="237">
        <f t="shared" si="44"/>
        <v>37122947.071585998</v>
      </c>
      <c r="G56" s="237">
        <f t="shared" si="44"/>
        <v>46284496.490752466</v>
      </c>
      <c r="H56" s="237">
        <f t="shared" si="44"/>
        <v>55536579.801301613</v>
      </c>
      <c r="I56" s="237">
        <f t="shared" si="44"/>
        <v>82722627.434380084</v>
      </c>
      <c r="J56" s="237">
        <f t="shared" si="44"/>
        <v>95437682.460774228</v>
      </c>
      <c r="K56" s="237">
        <f t="shared" si="44"/>
        <v>108803515.08325407</v>
      </c>
      <c r="L56" s="237">
        <f t="shared" si="44"/>
        <v>123234812.60634713</v>
      </c>
      <c r="M56" s="237">
        <f t="shared" si="44"/>
        <v>193168075.05646977</v>
      </c>
      <c r="N56" s="237">
        <f t="shared" si="44"/>
        <v>214200111.48951796</v>
      </c>
      <c r="O56" s="237">
        <f t="shared" si="44"/>
        <v>230067453.24889529</v>
      </c>
      <c r="P56" s="237">
        <f t="shared" si="44"/>
        <v>247357358.02612531</v>
      </c>
      <c r="Q56" s="237">
        <f t="shared" si="44"/>
        <v>264621796.13032094</v>
      </c>
      <c r="R56" s="237">
        <f t="shared" si="44"/>
        <v>288543830.56723183</v>
      </c>
      <c r="S56" s="237">
        <f t="shared" si="44"/>
        <v>316366988.595047</v>
      </c>
      <c r="T56" s="237">
        <f t="shared" si="44"/>
        <v>350702686.33376914</v>
      </c>
      <c r="U56" s="237">
        <f t="shared" si="44"/>
        <v>379033825.07805449</v>
      </c>
      <c r="V56" s="237">
        <f t="shared" si="44"/>
        <v>405361275.4911142</v>
      </c>
      <c r="W56" s="237">
        <f t="shared" si="44"/>
        <v>410357092.8603738</v>
      </c>
      <c r="X56" s="238">
        <f>SUM(C56:W56)</f>
        <v>3905084543.0912023</v>
      </c>
    </row>
    <row r="57" spans="2:24" s="239" customFormat="1" x14ac:dyDescent="0.35">
      <c r="B57" s="236" t="s">
        <v>220</v>
      </c>
      <c r="C57" s="237">
        <f>C56</f>
        <v>9087047.9421776384</v>
      </c>
      <c r="D57" s="237">
        <f t="shared" ref="D57:N57" si="45">C57+D56</f>
        <v>28133664.134428132</v>
      </c>
      <c r="E57" s="237">
        <f t="shared" si="45"/>
        <v>56161389.265886828</v>
      </c>
      <c r="F57" s="237">
        <f t="shared" si="45"/>
        <v>93284336.337472826</v>
      </c>
      <c r="G57" s="237">
        <f t="shared" si="45"/>
        <v>139568832.82822528</v>
      </c>
      <c r="H57" s="237">
        <f t="shared" si="45"/>
        <v>195105412.62952691</v>
      </c>
      <c r="I57" s="237">
        <f t="shared" si="45"/>
        <v>277828040.06390703</v>
      </c>
      <c r="J57" s="237">
        <f t="shared" si="45"/>
        <v>373265722.52468127</v>
      </c>
      <c r="K57" s="237">
        <f t="shared" si="45"/>
        <v>482069237.60793531</v>
      </c>
      <c r="L57" s="237">
        <f t="shared" si="45"/>
        <v>605304050.21428239</v>
      </c>
      <c r="M57" s="237">
        <f t="shared" si="45"/>
        <v>798472125.27075219</v>
      </c>
      <c r="N57" s="237">
        <f t="shared" si="45"/>
        <v>1012672236.7602701</v>
      </c>
      <c r="O57" s="237">
        <f t="shared" ref="O57" si="46">N57+O56</f>
        <v>1242739690.0091653</v>
      </c>
      <c r="P57" s="237">
        <f t="shared" ref="P57" si="47">O57+P56</f>
        <v>1490097048.0352907</v>
      </c>
      <c r="Q57" s="237">
        <f t="shared" ref="Q57" si="48">P57+Q56</f>
        <v>1754718844.1656117</v>
      </c>
      <c r="R57" s="237">
        <f t="shared" ref="R57" si="49">Q57+R56</f>
        <v>2043262674.7328436</v>
      </c>
      <c r="S57" s="237">
        <f t="shared" ref="S57" si="50">R57+S56</f>
        <v>2359629663.3278904</v>
      </c>
      <c r="T57" s="237">
        <f t="shared" ref="T57" si="51">S57+T56</f>
        <v>2710332349.6616597</v>
      </c>
      <c r="U57" s="237">
        <f t="shared" ref="U57" si="52">T57+U56</f>
        <v>3089366174.7397141</v>
      </c>
      <c r="V57" s="237">
        <f t="shared" ref="V57" si="53">U57+V56</f>
        <v>3494727450.2308283</v>
      </c>
      <c r="W57" s="237">
        <f t="shared" ref="W57" si="54">V57+W56</f>
        <v>3905084543.0912023</v>
      </c>
      <c r="X57" s="238"/>
    </row>
    <row r="58" spans="2:24" s="239" customFormat="1" x14ac:dyDescent="0.35">
      <c r="B58" s="236" t="s">
        <v>221</v>
      </c>
      <c r="C58" s="237">
        <f>C56-C54</f>
        <v>0</v>
      </c>
      <c r="D58" s="237">
        <f>D56-D54</f>
        <v>554755.81142477319</v>
      </c>
      <c r="E58" s="237">
        <f>E56-E54</f>
        <v>1608906.0802204087</v>
      </c>
      <c r="F58" s="237">
        <f t="shared" ref="F58:W58" si="55">F56-F54</f>
        <v>3150191.688415274</v>
      </c>
      <c r="G58" s="237">
        <f t="shared" si="55"/>
        <v>5161320.8394197449</v>
      </c>
      <c r="H58" s="237">
        <f t="shared" si="55"/>
        <v>7630238.2100467086</v>
      </c>
      <c r="I58" s="237">
        <f t="shared" si="55"/>
        <v>13443729.2865794</v>
      </c>
      <c r="J58" s="237">
        <f t="shared" si="55"/>
        <v>17838112.989636227</v>
      </c>
      <c r="K58" s="237">
        <f t="shared" si="55"/>
        <v>22913015.550717711</v>
      </c>
      <c r="L58" s="237">
        <f t="shared" si="55"/>
        <v>28785590.217611358</v>
      </c>
      <c r="M58" s="237">
        <f t="shared" si="55"/>
        <v>49432885.854636729</v>
      </c>
      <c r="N58" s="237">
        <f t="shared" si="55"/>
        <v>59457393.499663174</v>
      </c>
      <c r="O58" s="237">
        <f t="shared" si="55"/>
        <v>68702770.452882648</v>
      </c>
      <c r="P58" s="237">
        <f t="shared" si="55"/>
        <v>78919033.621063024</v>
      </c>
      <c r="Q58" s="237">
        <f t="shared" si="55"/>
        <v>89675614.900861174</v>
      </c>
      <c r="R58" s="237">
        <f t="shared" si="55"/>
        <v>103338525.57003987</v>
      </c>
      <c r="S58" s="237">
        <f t="shared" si="55"/>
        <v>119217540.64198673</v>
      </c>
      <c r="T58" s="237">
        <f t="shared" si="55"/>
        <v>138521793.49989852</v>
      </c>
      <c r="U58" s="237">
        <f t="shared" si="55"/>
        <v>156391400.12303191</v>
      </c>
      <c r="V58" s="237">
        <f t="shared" si="55"/>
        <v>174189404.26787251</v>
      </c>
      <c r="W58" s="237">
        <f t="shared" si="55"/>
        <v>183152319.98519444</v>
      </c>
      <c r="X58" s="238"/>
    </row>
    <row r="59" spans="2:24" s="239" customFormat="1" x14ac:dyDescent="0.35">
      <c r="B59" s="236" t="s">
        <v>222</v>
      </c>
      <c r="C59" s="237">
        <f>C57-C55</f>
        <v>0</v>
      </c>
      <c r="D59" s="237">
        <f>D57-D55</f>
        <v>554755.81142477319</v>
      </c>
      <c r="E59" s="237">
        <f t="shared" ref="E59:W59" si="56">E57-E55</f>
        <v>2163661.8916451856</v>
      </c>
      <c r="F59" s="237">
        <f t="shared" si="56"/>
        <v>5313853.5800604522</v>
      </c>
      <c r="G59" s="237">
        <f t="shared" si="56"/>
        <v>10475174.41948019</v>
      </c>
      <c r="H59" s="237">
        <f t="shared" si="56"/>
        <v>18105412.629526913</v>
      </c>
      <c r="I59" s="237">
        <f t="shared" si="56"/>
        <v>31549141.916106343</v>
      </c>
      <c r="J59" s="237">
        <f t="shared" si="56"/>
        <v>49387254.905742586</v>
      </c>
      <c r="K59" s="237">
        <f t="shared" si="56"/>
        <v>72300270.456460238</v>
      </c>
      <c r="L59" s="237">
        <f t="shared" si="56"/>
        <v>101085860.67407155</v>
      </c>
      <c r="M59" s="237">
        <f t="shared" si="56"/>
        <v>150518746.52870834</v>
      </c>
      <c r="N59" s="237">
        <f t="shared" si="56"/>
        <v>209976140.02837145</v>
      </c>
      <c r="O59" s="237">
        <f t="shared" si="56"/>
        <v>278678910.48125398</v>
      </c>
      <c r="P59" s="237">
        <f t="shared" si="56"/>
        <v>357597944.10231709</v>
      </c>
      <c r="Q59" s="237">
        <f t="shared" si="56"/>
        <v>447273559.00317836</v>
      </c>
      <c r="R59" s="237">
        <f t="shared" si="56"/>
        <v>550612084.57321835</v>
      </c>
      <c r="S59" s="237">
        <f t="shared" si="56"/>
        <v>669829625.21520472</v>
      </c>
      <c r="T59" s="237">
        <f t="shared" si="56"/>
        <v>808351418.71510339</v>
      </c>
      <c r="U59" s="237">
        <f t="shared" si="56"/>
        <v>964742818.83813524</v>
      </c>
      <c r="V59" s="237">
        <f t="shared" si="56"/>
        <v>1138932223.1060076</v>
      </c>
      <c r="W59" s="237">
        <f t="shared" si="56"/>
        <v>1322084543.0912023</v>
      </c>
      <c r="X59" s="238"/>
    </row>
    <row r="60" spans="2:24" x14ac:dyDescent="0.35">
      <c r="B60" s="77" t="s">
        <v>12</v>
      </c>
      <c r="C60" s="73">
        <v>2020</v>
      </c>
      <c r="D60" s="73">
        <v>2021</v>
      </c>
      <c r="E60" s="73">
        <v>2022</v>
      </c>
      <c r="F60" s="73">
        <v>2023</v>
      </c>
      <c r="G60" s="73">
        <v>2024</v>
      </c>
      <c r="H60" s="73">
        <v>2025</v>
      </c>
      <c r="I60" s="73">
        <v>2026</v>
      </c>
      <c r="J60" s="73">
        <v>2027</v>
      </c>
      <c r="K60" s="73">
        <v>2028</v>
      </c>
      <c r="L60" s="73">
        <v>2029</v>
      </c>
      <c r="M60" s="73">
        <v>2030</v>
      </c>
      <c r="N60" s="73">
        <v>2031</v>
      </c>
      <c r="O60" s="73">
        <v>2032</v>
      </c>
      <c r="P60" s="73">
        <v>2033</v>
      </c>
      <c r="Q60" s="73">
        <v>2034</v>
      </c>
      <c r="R60" s="73">
        <v>2035</v>
      </c>
      <c r="S60" s="73">
        <v>2036</v>
      </c>
      <c r="T60" s="73">
        <v>2037</v>
      </c>
      <c r="U60" s="73">
        <v>2038</v>
      </c>
      <c r="V60" s="73">
        <v>2039</v>
      </c>
      <c r="W60" s="73">
        <v>2040</v>
      </c>
      <c r="X60" s="74" t="s">
        <v>142</v>
      </c>
    </row>
    <row r="61" spans="2:24" x14ac:dyDescent="0.35">
      <c r="B61" s="3" t="s">
        <v>146</v>
      </c>
      <c r="C61" s="69">
        <v>0</v>
      </c>
      <c r="D61" s="69">
        <v>0</v>
      </c>
      <c r="E61" s="69">
        <v>0</v>
      </c>
      <c r="F61" s="69">
        <v>0</v>
      </c>
      <c r="G61" s="69">
        <v>0</v>
      </c>
      <c r="H61" s="69">
        <v>0</v>
      </c>
      <c r="I61" s="69">
        <v>0</v>
      </c>
      <c r="J61" s="69">
        <v>0</v>
      </c>
      <c r="K61" s="69">
        <v>0</v>
      </c>
      <c r="L61" s="69">
        <v>0</v>
      </c>
      <c r="M61" s="69">
        <f>496000000/11</f>
        <v>45090909.090909094</v>
      </c>
      <c r="N61" s="69">
        <f t="shared" ref="N61:W61" si="57">496000000/11</f>
        <v>45090909.090909094</v>
      </c>
      <c r="O61" s="69">
        <f t="shared" si="57"/>
        <v>45090909.090909094</v>
      </c>
      <c r="P61" s="69">
        <f t="shared" si="57"/>
        <v>45090909.090909094</v>
      </c>
      <c r="Q61" s="69">
        <f t="shared" si="57"/>
        <v>45090909.090909094</v>
      </c>
      <c r="R61" s="69">
        <f t="shared" si="57"/>
        <v>45090909.090909094</v>
      </c>
      <c r="S61" s="69">
        <f t="shared" si="57"/>
        <v>45090909.090909094</v>
      </c>
      <c r="T61" s="69">
        <f t="shared" si="57"/>
        <v>45090909.090909094</v>
      </c>
      <c r="U61" s="69">
        <f t="shared" si="57"/>
        <v>45090909.090909094</v>
      </c>
      <c r="V61" s="69">
        <f t="shared" si="57"/>
        <v>45090909.090909094</v>
      </c>
      <c r="W61" s="69">
        <f t="shared" si="57"/>
        <v>45090909.090909094</v>
      </c>
      <c r="X61" s="70">
        <f>SUM(C61:W61)</f>
        <v>496000000.00000012</v>
      </c>
    </row>
    <row r="62" spans="2:24" x14ac:dyDescent="0.35">
      <c r="B62" s="3" t="s">
        <v>215</v>
      </c>
      <c r="C62" s="69">
        <f>134000000*C29</f>
        <v>6970295.5437554838</v>
      </c>
      <c r="D62" s="69">
        <f t="shared" ref="D62:H62" si="58">134000000*D29</f>
        <v>14123706.404424386</v>
      </c>
      <c r="E62" s="69">
        <f t="shared" si="58"/>
        <v>19992896.660247684</v>
      </c>
      <c r="F62" s="69">
        <f t="shared" si="58"/>
        <v>25579562.896845225</v>
      </c>
      <c r="G62" s="69">
        <f t="shared" si="58"/>
        <v>31014662.186066747</v>
      </c>
      <c r="H62" s="69">
        <f t="shared" si="58"/>
        <v>36318876.308660485</v>
      </c>
      <c r="I62" s="69">
        <f>1564000000*I29</f>
        <v>65457317.162604786</v>
      </c>
      <c r="J62" s="69">
        <f t="shared" ref="J62:W62" si="59">1564000000*J29</f>
        <v>73686155.136961669</v>
      </c>
      <c r="K62" s="69">
        <f t="shared" si="59"/>
        <v>81930243.708014384</v>
      </c>
      <c r="L62" s="69">
        <f t="shared" si="59"/>
        <v>90270527.241111487</v>
      </c>
      <c r="M62" s="69">
        <f t="shared" si="59"/>
        <v>98521288.461656168</v>
      </c>
      <c r="N62" s="69">
        <f t="shared" si="59"/>
        <v>103713193.13981861</v>
      </c>
      <c r="O62" s="69">
        <f t="shared" si="59"/>
        <v>104536716.32532646</v>
      </c>
      <c r="P62" s="69">
        <f t="shared" si="59"/>
        <v>105967123.82340607</v>
      </c>
      <c r="Q62" s="69">
        <f t="shared" si="59"/>
        <v>107241049.92507648</v>
      </c>
      <c r="R62" s="69">
        <f t="shared" si="59"/>
        <v>111933076.59466062</v>
      </c>
      <c r="S62" s="69">
        <f t="shared" si="59"/>
        <v>117520559.52990498</v>
      </c>
      <c r="T62" s="69">
        <f t="shared" si="59"/>
        <v>124985883.81445587</v>
      </c>
      <c r="U62" s="69">
        <f t="shared" si="59"/>
        <v>128099432.87534446</v>
      </c>
      <c r="V62" s="69">
        <f t="shared" si="59"/>
        <v>129594222.7938983</v>
      </c>
      <c r="W62" s="69">
        <f t="shared" si="59"/>
        <v>120543209.46775976</v>
      </c>
      <c r="X62" s="70">
        <f>SUM(C62:W62)</f>
        <v>1698000000.0000002</v>
      </c>
    </row>
    <row r="63" spans="2:24" x14ac:dyDescent="0.35">
      <c r="B63" s="3" t="s">
        <v>216</v>
      </c>
      <c r="C63" s="69">
        <v>0</v>
      </c>
      <c r="D63" s="69">
        <v>0</v>
      </c>
      <c r="E63" s="69">
        <v>0</v>
      </c>
      <c r="F63" s="69">
        <v>0</v>
      </c>
      <c r="G63" s="69">
        <v>0</v>
      </c>
      <c r="H63" s="69">
        <v>0</v>
      </c>
      <c r="I63" s="69">
        <v>0</v>
      </c>
      <c r="J63" s="69">
        <v>0</v>
      </c>
      <c r="K63" s="69">
        <v>0</v>
      </c>
      <c r="L63" s="69">
        <v>0</v>
      </c>
      <c r="M63" s="69">
        <f>559000000/11</f>
        <v>50818181.81818182</v>
      </c>
      <c r="N63" s="69">
        <f t="shared" ref="N63:W63" si="60">559000000/11</f>
        <v>50818181.81818182</v>
      </c>
      <c r="O63" s="69">
        <f t="shared" si="60"/>
        <v>50818181.81818182</v>
      </c>
      <c r="P63" s="69">
        <f t="shared" si="60"/>
        <v>50818181.81818182</v>
      </c>
      <c r="Q63" s="69">
        <f t="shared" si="60"/>
        <v>50818181.81818182</v>
      </c>
      <c r="R63" s="69">
        <f t="shared" si="60"/>
        <v>50818181.81818182</v>
      </c>
      <c r="S63" s="69">
        <f t="shared" si="60"/>
        <v>50818181.81818182</v>
      </c>
      <c r="T63" s="69">
        <f t="shared" si="60"/>
        <v>50818181.81818182</v>
      </c>
      <c r="U63" s="69">
        <f t="shared" si="60"/>
        <v>50818181.81818182</v>
      </c>
      <c r="V63" s="69">
        <f t="shared" si="60"/>
        <v>50818181.81818182</v>
      </c>
      <c r="W63" s="69">
        <f t="shared" si="60"/>
        <v>50818181.81818182</v>
      </c>
      <c r="X63" s="70">
        <f>SUM(C63:W63)</f>
        <v>559000000</v>
      </c>
    </row>
    <row r="64" spans="2:24" ht="15" thickBot="1" x14ac:dyDescent="0.4">
      <c r="B64" s="75" t="s">
        <v>223</v>
      </c>
      <c r="C64" s="71">
        <f>246000000*C29</f>
        <v>12796214.207192903</v>
      </c>
      <c r="D64" s="71">
        <f t="shared" ref="D64:H64" si="61">246000000*D29</f>
        <v>25928595.339465663</v>
      </c>
      <c r="E64" s="71">
        <f t="shared" si="61"/>
        <v>36703377.450902462</v>
      </c>
      <c r="F64" s="71">
        <f t="shared" si="61"/>
        <v>46959496.064357646</v>
      </c>
      <c r="G64" s="71">
        <f t="shared" si="61"/>
        <v>56937364.908749402</v>
      </c>
      <c r="H64" s="71">
        <f t="shared" si="61"/>
        <v>66674952.02933193</v>
      </c>
      <c r="I64" s="71">
        <f>2512000000*I29</f>
        <v>105133491.50413249</v>
      </c>
      <c r="J64" s="71">
        <f t="shared" ref="J64:W64" si="62">2512000000*J29</f>
        <v>118350141.75450622</v>
      </c>
      <c r="K64" s="71">
        <f t="shared" si="62"/>
        <v>131591286.56939393</v>
      </c>
      <c r="L64" s="71">
        <f t="shared" si="62"/>
        <v>144986933.77856269</v>
      </c>
      <c r="M64" s="71">
        <f t="shared" si="62"/>
        <v>158238795.79007691</v>
      </c>
      <c r="N64" s="71">
        <f t="shared" si="62"/>
        <v>166577711.74374959</v>
      </c>
      <c r="O64" s="71">
        <f t="shared" si="62"/>
        <v>167900403.71433508</v>
      </c>
      <c r="P64" s="71">
        <f t="shared" si="62"/>
        <v>170197835.70613557</v>
      </c>
      <c r="Q64" s="71">
        <f t="shared" si="62"/>
        <v>172243936.96406147</v>
      </c>
      <c r="R64" s="71">
        <f t="shared" si="62"/>
        <v>179779979.79909685</v>
      </c>
      <c r="S64" s="71">
        <f t="shared" si="62"/>
        <v>188754249.06593433</v>
      </c>
      <c r="T64" s="71">
        <f t="shared" si="62"/>
        <v>200744590.88357618</v>
      </c>
      <c r="U64" s="71">
        <f t="shared" si="62"/>
        <v>205745380.67958137</v>
      </c>
      <c r="V64" s="71">
        <f t="shared" si="62"/>
        <v>208146219.73035327</v>
      </c>
      <c r="W64" s="71">
        <f t="shared" si="62"/>
        <v>193609042.31650415</v>
      </c>
      <c r="X64" s="72">
        <f>SUM(C64:W64)</f>
        <v>2758000000</v>
      </c>
    </row>
    <row r="65" spans="2:25" ht="15" thickTop="1" x14ac:dyDescent="0.35">
      <c r="B65" s="78" t="s">
        <v>142</v>
      </c>
      <c r="C65" s="79">
        <f t="shared" ref="C65:W65" si="63">SUM(C61:C64)</f>
        <v>19766509.750948388</v>
      </c>
      <c r="D65" s="79">
        <f t="shared" si="63"/>
        <v>40052301.743890047</v>
      </c>
      <c r="E65" s="79">
        <f t="shared" si="63"/>
        <v>56696274.111150146</v>
      </c>
      <c r="F65" s="79">
        <f t="shared" si="63"/>
        <v>72539058.961202875</v>
      </c>
      <c r="G65" s="79">
        <f t="shared" si="63"/>
        <v>87952027.094816148</v>
      </c>
      <c r="H65" s="79">
        <f t="shared" si="63"/>
        <v>102993828.33799241</v>
      </c>
      <c r="I65" s="79">
        <f t="shared" si="63"/>
        <v>170590808.66673729</v>
      </c>
      <c r="J65" s="79">
        <f t="shared" si="63"/>
        <v>192036296.89146787</v>
      </c>
      <c r="K65" s="79">
        <f t="shared" si="63"/>
        <v>213521530.2774083</v>
      </c>
      <c r="L65" s="79">
        <f t="shared" si="63"/>
        <v>235257461.01967418</v>
      </c>
      <c r="M65" s="79">
        <f t="shared" si="63"/>
        <v>352669175.160824</v>
      </c>
      <c r="N65" s="79">
        <f t="shared" si="63"/>
        <v>366199995.7926591</v>
      </c>
      <c r="O65" s="79">
        <f t="shared" si="63"/>
        <v>368346210.94875246</v>
      </c>
      <c r="P65" s="79">
        <f t="shared" si="63"/>
        <v>372074050.43863255</v>
      </c>
      <c r="Q65" s="79">
        <f t="shared" si="63"/>
        <v>375394077.79822886</v>
      </c>
      <c r="R65" s="79">
        <f t="shared" si="63"/>
        <v>387622147.30284834</v>
      </c>
      <c r="S65" s="79">
        <f t="shared" si="63"/>
        <v>402183899.50493026</v>
      </c>
      <c r="T65" s="79">
        <f t="shared" si="63"/>
        <v>421639565.60712296</v>
      </c>
      <c r="U65" s="79">
        <f t="shared" si="63"/>
        <v>429753904.46401674</v>
      </c>
      <c r="V65" s="79">
        <f t="shared" si="63"/>
        <v>433649533.43334246</v>
      </c>
      <c r="W65" s="79">
        <f t="shared" si="63"/>
        <v>410061342.69335485</v>
      </c>
      <c r="X65" s="80">
        <f>SUM(X61:X64)</f>
        <v>5511000000</v>
      </c>
    </row>
    <row r="66" spans="2:25" ht="15" thickBot="1" x14ac:dyDescent="0.4">
      <c r="B66" s="4" t="s">
        <v>217</v>
      </c>
      <c r="C66" s="81">
        <f>C65</f>
        <v>19766509.750948388</v>
      </c>
      <c r="D66" s="81">
        <f t="shared" ref="D66:N66" si="64">C66+D65</f>
        <v>59818811.494838431</v>
      </c>
      <c r="E66" s="81">
        <f t="shared" si="64"/>
        <v>116515085.60598858</v>
      </c>
      <c r="F66" s="81">
        <f t="shared" si="64"/>
        <v>189054144.56719145</v>
      </c>
      <c r="G66" s="81">
        <f t="shared" si="64"/>
        <v>277006171.66200757</v>
      </c>
      <c r="H66" s="81">
        <f t="shared" si="64"/>
        <v>380000000</v>
      </c>
      <c r="I66" s="81">
        <f t="shared" si="64"/>
        <v>550590808.66673732</v>
      </c>
      <c r="J66" s="81">
        <f t="shared" si="64"/>
        <v>742627105.55820513</v>
      </c>
      <c r="K66" s="81">
        <f t="shared" si="64"/>
        <v>956148635.83561349</v>
      </c>
      <c r="L66" s="81">
        <f t="shared" si="64"/>
        <v>1191406096.8552876</v>
      </c>
      <c r="M66" s="81">
        <f t="shared" si="64"/>
        <v>1544075272.0161116</v>
      </c>
      <c r="N66" s="81">
        <f t="shared" si="64"/>
        <v>1910275267.8087707</v>
      </c>
      <c r="O66" s="81">
        <f t="shared" ref="O66:W66" si="65">N66+O65</f>
        <v>2278621478.7575231</v>
      </c>
      <c r="P66" s="81">
        <f t="shared" si="65"/>
        <v>2650695529.1961555</v>
      </c>
      <c r="Q66" s="81">
        <f t="shared" si="65"/>
        <v>3026089606.9943843</v>
      </c>
      <c r="R66" s="81">
        <f t="shared" si="65"/>
        <v>3413711754.2972326</v>
      </c>
      <c r="S66" s="81">
        <f t="shared" si="65"/>
        <v>3815895653.8021631</v>
      </c>
      <c r="T66" s="81">
        <f t="shared" si="65"/>
        <v>4237535219.409286</v>
      </c>
      <c r="U66" s="81">
        <f t="shared" si="65"/>
        <v>4667289123.8733025</v>
      </c>
      <c r="V66" s="81">
        <f t="shared" si="65"/>
        <v>5100938657.3066444</v>
      </c>
      <c r="W66" s="81">
        <f t="shared" si="65"/>
        <v>5510999999.999999</v>
      </c>
      <c r="X66" s="83"/>
    </row>
    <row r="67" spans="2:25" s="239" customFormat="1" x14ac:dyDescent="0.35">
      <c r="B67" s="236" t="s">
        <v>219</v>
      </c>
      <c r="C67" s="237">
        <f>C65</f>
        <v>19766509.750948388</v>
      </c>
      <c r="D67" s="237">
        <f>D65*(1.03)^D37</f>
        <v>41253870.79620675</v>
      </c>
      <c r="E67" s="237">
        <f t="shared" ref="E67:W67" si="66">E65*(1.03)^E37</f>
        <v>60149077.20451919</v>
      </c>
      <c r="F67" s="237">
        <f t="shared" si="66"/>
        <v>79265388.281498328</v>
      </c>
      <c r="G67" s="237">
        <f t="shared" si="66"/>
        <v>98990781.352574274</v>
      </c>
      <c r="H67" s="237">
        <f t="shared" si="66"/>
        <v>119398075.00513925</v>
      </c>
      <c r="I67" s="237">
        <f t="shared" si="66"/>
        <v>203694346.85525689</v>
      </c>
      <c r="J67" s="237">
        <f t="shared" si="66"/>
        <v>236180422.75978753</v>
      </c>
      <c r="K67" s="237">
        <f t="shared" si="66"/>
        <v>270482686.28752083</v>
      </c>
      <c r="L67" s="237">
        <f t="shared" si="66"/>
        <v>306957626.43422467</v>
      </c>
      <c r="M67" s="237">
        <f t="shared" si="66"/>
        <v>473957880.9884125</v>
      </c>
      <c r="N67" s="237">
        <f t="shared" si="66"/>
        <v>506906437.63534814</v>
      </c>
      <c r="O67" s="237">
        <f t="shared" si="66"/>
        <v>525173620.3887229</v>
      </c>
      <c r="P67" s="237">
        <f t="shared" si="66"/>
        <v>546403286.9696095</v>
      </c>
      <c r="Q67" s="237">
        <f t="shared" si="66"/>
        <v>567817224.84906113</v>
      </c>
      <c r="R67" s="237">
        <f t="shared" si="66"/>
        <v>603902675.45065963</v>
      </c>
      <c r="S67" s="237">
        <f t="shared" si="66"/>
        <v>645387093.23742104</v>
      </c>
      <c r="T67" s="237">
        <f t="shared" si="66"/>
        <v>696905957.68582261</v>
      </c>
      <c r="U67" s="237">
        <f t="shared" si="66"/>
        <v>731627255.15647697</v>
      </c>
      <c r="V67" s="237">
        <f t="shared" si="66"/>
        <v>760407081.78942633</v>
      </c>
      <c r="W67" s="237">
        <f t="shared" si="66"/>
        <v>740616397.94209254</v>
      </c>
      <c r="X67" s="238">
        <f>SUM(C67:W67)</f>
        <v>8235243696.8207302</v>
      </c>
      <c r="Y67" s="240">
        <f>X67-X65</f>
        <v>2724243696.8207302</v>
      </c>
    </row>
    <row r="68" spans="2:25" s="239" customFormat="1" x14ac:dyDescent="0.35">
      <c r="B68" s="236" t="s">
        <v>220</v>
      </c>
      <c r="C68" s="237">
        <f>C67</f>
        <v>19766509.750948388</v>
      </c>
      <c r="D68" s="237">
        <f t="shared" ref="D68:N68" si="67">C68+D67</f>
        <v>61020380.547155142</v>
      </c>
      <c r="E68" s="237">
        <f t="shared" si="67"/>
        <v>121169457.75167432</v>
      </c>
      <c r="F68" s="237">
        <f t="shared" si="67"/>
        <v>200434846.03317267</v>
      </c>
      <c r="G68" s="237">
        <f t="shared" si="67"/>
        <v>299425627.38574696</v>
      </c>
      <c r="H68" s="237">
        <f t="shared" si="67"/>
        <v>418823702.39088619</v>
      </c>
      <c r="I68" s="237">
        <f t="shared" si="67"/>
        <v>622518049.2461431</v>
      </c>
      <c r="J68" s="237">
        <f t="shared" si="67"/>
        <v>858698472.00593066</v>
      </c>
      <c r="K68" s="237">
        <f t="shared" si="67"/>
        <v>1129181158.2934515</v>
      </c>
      <c r="L68" s="237">
        <f t="shared" si="67"/>
        <v>1436138784.7276762</v>
      </c>
      <c r="M68" s="237">
        <f t="shared" si="67"/>
        <v>1910096665.7160888</v>
      </c>
      <c r="N68" s="237">
        <f t="shared" si="67"/>
        <v>2417003103.3514371</v>
      </c>
      <c r="O68" s="237">
        <f t="shared" ref="O68" si="68">N68+O67</f>
        <v>2942176723.74016</v>
      </c>
      <c r="P68" s="237">
        <f t="shared" ref="P68" si="69">O68+P67</f>
        <v>3488580010.7097692</v>
      </c>
      <c r="Q68" s="237">
        <f t="shared" ref="Q68" si="70">P68+Q67</f>
        <v>4056397235.5588303</v>
      </c>
      <c r="R68" s="237">
        <f t="shared" ref="R68" si="71">Q68+R67</f>
        <v>4660299911.00949</v>
      </c>
      <c r="S68" s="237">
        <f t="shared" ref="S68" si="72">R68+S67</f>
        <v>5305687004.246911</v>
      </c>
      <c r="T68" s="237">
        <f t="shared" ref="T68" si="73">S68+T67</f>
        <v>6002592961.9327335</v>
      </c>
      <c r="U68" s="237">
        <f t="shared" ref="U68" si="74">T68+U67</f>
        <v>6734220217.0892105</v>
      </c>
      <c r="V68" s="237">
        <f t="shared" ref="V68" si="75">U68+V67</f>
        <v>7494627298.8786373</v>
      </c>
      <c r="W68" s="237">
        <f t="shared" ref="W68" si="76">V68+W67</f>
        <v>8235243696.8207302</v>
      </c>
      <c r="X68" s="238"/>
    </row>
    <row r="69" spans="2:25" s="239" customFormat="1" x14ac:dyDescent="0.35">
      <c r="B69" s="236" t="s">
        <v>221</v>
      </c>
      <c r="C69" s="237">
        <f>C67-C65</f>
        <v>0</v>
      </c>
      <c r="D69" s="237">
        <f>D67-D65</f>
        <v>1201569.0523167029</v>
      </c>
      <c r="E69" s="237">
        <f t="shared" ref="E69:W69" si="77">E67-E65</f>
        <v>3452803.0933690444</v>
      </c>
      <c r="F69" s="237">
        <f t="shared" si="77"/>
        <v>6726329.3202954531</v>
      </c>
      <c r="G69" s="237">
        <f t="shared" si="77"/>
        <v>11038754.257758126</v>
      </c>
      <c r="H69" s="237">
        <f t="shared" si="77"/>
        <v>16404246.667146832</v>
      </c>
      <c r="I69" s="237">
        <f t="shared" si="77"/>
        <v>33103538.188519597</v>
      </c>
      <c r="J69" s="237">
        <f t="shared" si="77"/>
        <v>44144125.86831966</v>
      </c>
      <c r="K69" s="237">
        <f t="shared" si="77"/>
        <v>56961156.010112524</v>
      </c>
      <c r="L69" s="237">
        <f t="shared" si="77"/>
        <v>71700165.414550483</v>
      </c>
      <c r="M69" s="237">
        <f t="shared" si="77"/>
        <v>121288705.8275885</v>
      </c>
      <c r="N69" s="237">
        <f t="shared" si="77"/>
        <v>140706441.84268904</v>
      </c>
      <c r="O69" s="237">
        <f t="shared" si="77"/>
        <v>156827409.43997043</v>
      </c>
      <c r="P69" s="237">
        <f t="shared" si="77"/>
        <v>174329236.53097695</v>
      </c>
      <c r="Q69" s="237">
        <f t="shared" si="77"/>
        <v>192423147.05083227</v>
      </c>
      <c r="R69" s="237">
        <f t="shared" si="77"/>
        <v>216280528.14781129</v>
      </c>
      <c r="S69" s="237">
        <f t="shared" si="77"/>
        <v>243203193.73249078</v>
      </c>
      <c r="T69" s="237">
        <f t="shared" si="77"/>
        <v>275266392.07869965</v>
      </c>
      <c r="U69" s="237">
        <f t="shared" si="77"/>
        <v>301873350.69246024</v>
      </c>
      <c r="V69" s="237">
        <f t="shared" si="77"/>
        <v>326757548.35608387</v>
      </c>
      <c r="W69" s="237">
        <f t="shared" si="77"/>
        <v>330555055.24873769</v>
      </c>
      <c r="X69" s="240"/>
    </row>
    <row r="70" spans="2:25" s="239" customFormat="1" x14ac:dyDescent="0.35">
      <c r="B70" s="236" t="s">
        <v>222</v>
      </c>
      <c r="C70" s="237">
        <f>C68-C66</f>
        <v>0</v>
      </c>
      <c r="D70" s="237">
        <f>D68-D66</f>
        <v>1201569.0523167104</v>
      </c>
      <c r="E70" s="237">
        <f t="shared" ref="E70:W70" si="78">E68-E66</f>
        <v>4654372.1456857473</v>
      </c>
      <c r="F70" s="237">
        <f t="shared" si="78"/>
        <v>11380701.465981215</v>
      </c>
      <c r="G70" s="237">
        <f t="shared" si="78"/>
        <v>22419455.723739386</v>
      </c>
      <c r="H70" s="237">
        <f t="shared" si="78"/>
        <v>38823702.390886188</v>
      </c>
      <c r="I70" s="237">
        <f t="shared" si="78"/>
        <v>71927240.579405785</v>
      </c>
      <c r="J70" s="237">
        <f t="shared" si="78"/>
        <v>116071366.44772553</v>
      </c>
      <c r="K70" s="237">
        <f t="shared" si="78"/>
        <v>173032522.45783806</v>
      </c>
      <c r="L70" s="237">
        <f t="shared" si="78"/>
        <v>244732687.8723886</v>
      </c>
      <c r="M70" s="237">
        <f t="shared" si="78"/>
        <v>366021393.69997716</v>
      </c>
      <c r="N70" s="237">
        <f t="shared" si="78"/>
        <v>506727835.54266644</v>
      </c>
      <c r="O70" s="237">
        <f t="shared" si="78"/>
        <v>663555244.98263693</v>
      </c>
      <c r="P70" s="237">
        <f t="shared" si="78"/>
        <v>837884481.5136137</v>
      </c>
      <c r="Q70" s="237">
        <f t="shared" si="78"/>
        <v>1030307628.564446</v>
      </c>
      <c r="R70" s="237">
        <f t="shared" si="78"/>
        <v>1246588156.7122574</v>
      </c>
      <c r="S70" s="237">
        <f t="shared" si="78"/>
        <v>1489791350.4447479</v>
      </c>
      <c r="T70" s="237">
        <f t="shared" si="78"/>
        <v>1765057742.5234475</v>
      </c>
      <c r="U70" s="237">
        <f t="shared" si="78"/>
        <v>2066931093.2159081</v>
      </c>
      <c r="V70" s="237">
        <f t="shared" si="78"/>
        <v>2393688641.5719929</v>
      </c>
      <c r="W70" s="237">
        <f t="shared" si="78"/>
        <v>2724243696.8207312</v>
      </c>
      <c r="X70" s="240"/>
    </row>
    <row r="71" spans="2:25" x14ac:dyDescent="0.35">
      <c r="B71" t="s">
        <v>225</v>
      </c>
    </row>
    <row r="72" spans="2:25" x14ac:dyDescent="0.35">
      <c r="B72" t="s">
        <v>226</v>
      </c>
    </row>
    <row r="73" spans="2:25" x14ac:dyDescent="0.35">
      <c r="B73" t="s">
        <v>227</v>
      </c>
    </row>
    <row r="76" spans="2:25" x14ac:dyDescent="0.35">
      <c r="B76" s="2" t="s">
        <v>228</v>
      </c>
    </row>
    <row r="77" spans="2:25" ht="15" thickBot="1" x14ac:dyDescent="0.4"/>
    <row r="78" spans="2:25" x14ac:dyDescent="0.35">
      <c r="B78" s="76" t="s">
        <v>10</v>
      </c>
      <c r="C78" s="67">
        <v>2020</v>
      </c>
      <c r="D78" s="67">
        <v>2021</v>
      </c>
      <c r="E78" s="67">
        <v>2022</v>
      </c>
      <c r="F78" s="67">
        <v>2023</v>
      </c>
      <c r="G78" s="67">
        <v>2024</v>
      </c>
      <c r="H78" s="67">
        <v>2025</v>
      </c>
      <c r="I78" s="67">
        <v>2026</v>
      </c>
      <c r="J78" s="67">
        <v>2027</v>
      </c>
      <c r="K78" s="67">
        <v>2028</v>
      </c>
      <c r="L78" s="67">
        <v>2029</v>
      </c>
      <c r="M78" s="67">
        <v>2030</v>
      </c>
      <c r="N78" s="67">
        <v>2031</v>
      </c>
      <c r="O78" s="67">
        <v>2032</v>
      </c>
      <c r="P78" s="67">
        <v>2033</v>
      </c>
      <c r="Q78" s="67">
        <v>2034</v>
      </c>
      <c r="R78" s="67">
        <v>2035</v>
      </c>
      <c r="S78" s="67">
        <v>2036</v>
      </c>
      <c r="T78" s="67">
        <v>2037</v>
      </c>
      <c r="U78" s="67">
        <v>2038</v>
      </c>
      <c r="V78" s="67">
        <v>2039</v>
      </c>
      <c r="W78" s="68">
        <v>2040</v>
      </c>
      <c r="X78" t="s">
        <v>142</v>
      </c>
    </row>
    <row r="79" spans="2:25" x14ac:dyDescent="0.35">
      <c r="B79" s="3" t="s">
        <v>229</v>
      </c>
      <c r="C79" s="224">
        <f>SUM(C39:C41)</f>
        <v>666648.14172703517</v>
      </c>
      <c r="D79" s="224">
        <f>SUM(D39:D41)*(1.03)^D37</f>
        <v>1450904.4510123408</v>
      </c>
      <c r="E79" s="224">
        <f t="shared" ref="E79:W79" si="79">SUM(E39:E41)*(1.03)^E37</f>
        <v>2226205.5307810591</v>
      </c>
      <c r="F79" s="224">
        <f t="shared" si="79"/>
        <v>3006551.4553096499</v>
      </c>
      <c r="G79" s="224">
        <f t="shared" si="79"/>
        <v>3723016.5183379734</v>
      </c>
      <c r="H79" s="224">
        <f t="shared" si="79"/>
        <v>4367011.0468730573</v>
      </c>
      <c r="I79" s="224">
        <f t="shared" si="79"/>
        <v>14542925.287861092</v>
      </c>
      <c r="J79" s="224">
        <f t="shared" si="79"/>
        <v>16257788.70376106</v>
      </c>
      <c r="K79" s="224">
        <f t="shared" si="79"/>
        <v>18009875.568225589</v>
      </c>
      <c r="L79" s="224">
        <f t="shared" si="79"/>
        <v>20055138.420478903</v>
      </c>
      <c r="M79" s="224">
        <f t="shared" si="79"/>
        <v>71520991.340967879</v>
      </c>
      <c r="N79" s="224">
        <f t="shared" si="79"/>
        <v>76515877.145994186</v>
      </c>
      <c r="O79" s="224">
        <f t="shared" si="79"/>
        <v>80965213.439289778</v>
      </c>
      <c r="P79" s="224">
        <f t="shared" si="79"/>
        <v>85582880.020269588</v>
      </c>
      <c r="Q79" s="224">
        <f t="shared" si="79"/>
        <v>89544224.785715163</v>
      </c>
      <c r="R79" s="224">
        <f t="shared" si="79"/>
        <v>93465194.954771519</v>
      </c>
      <c r="S79" s="224">
        <f t="shared" si="79"/>
        <v>96712099.77094686</v>
      </c>
      <c r="T79" s="224">
        <f t="shared" si="79"/>
        <v>100387558.12798856</v>
      </c>
      <c r="U79" s="224">
        <f t="shared" si="79"/>
        <v>103759131.2759832</v>
      </c>
      <c r="V79" s="224">
        <f t="shared" si="79"/>
        <v>108384105.58623469</v>
      </c>
      <c r="W79" s="224">
        <f t="shared" si="79"/>
        <v>111077804.61167432</v>
      </c>
      <c r="X79" s="246">
        <f>SUM(C79:W79)</f>
        <v>1102221146.1842036</v>
      </c>
    </row>
    <row r="80" spans="2:25" ht="15" thickBot="1" x14ac:dyDescent="0.4">
      <c r="B80" s="6" t="s">
        <v>230</v>
      </c>
      <c r="C80" s="225">
        <f>C42</f>
        <v>571412.69290888729</v>
      </c>
      <c r="D80" s="225">
        <f>D42*(1.03)^D37</f>
        <v>1243632.3865820065</v>
      </c>
      <c r="E80" s="225">
        <f t="shared" ref="E80:W80" si="80">E42*(1.03)^E37</f>
        <v>1908176.1692409075</v>
      </c>
      <c r="F80" s="225">
        <f t="shared" si="80"/>
        <v>2577044.1045511286</v>
      </c>
      <c r="G80" s="225">
        <f t="shared" si="80"/>
        <v>3191157.0157182631</v>
      </c>
      <c r="H80" s="225">
        <f t="shared" si="80"/>
        <v>3743152.3258911921</v>
      </c>
      <c r="I80" s="225">
        <f t="shared" si="80"/>
        <v>4622916.6477969028</v>
      </c>
      <c r="J80" s="225">
        <f t="shared" si="80"/>
        <v>5168038.7932485482</v>
      </c>
      <c r="K80" s="225">
        <f t="shared" si="80"/>
        <v>5724993.558111446</v>
      </c>
      <c r="L80" s="225">
        <f t="shared" si="80"/>
        <v>6375143.3389601819</v>
      </c>
      <c r="M80" s="225">
        <f t="shared" si="80"/>
        <v>7161577.9400453819</v>
      </c>
      <c r="N80" s="225">
        <f t="shared" si="80"/>
        <v>8282149.0604339549</v>
      </c>
      <c r="O80" s="225">
        <f t="shared" si="80"/>
        <v>9215284.2540215291</v>
      </c>
      <c r="P80" s="225">
        <f t="shared" si="80"/>
        <v>10187491.712333923</v>
      </c>
      <c r="Q80" s="225">
        <f t="shared" si="80"/>
        <v>10936197.268420491</v>
      </c>
      <c r="R80" s="225">
        <f t="shared" si="80"/>
        <v>11656752.619739829</v>
      </c>
      <c r="S80" s="225">
        <f t="shared" si="80"/>
        <v>12147260.168143583</v>
      </c>
      <c r="T80" s="225">
        <f t="shared" si="80"/>
        <v>12757748.022643777</v>
      </c>
      <c r="U80" s="225">
        <f t="shared" si="80"/>
        <v>13254900.512325997</v>
      </c>
      <c r="V80" s="225">
        <f t="shared" si="80"/>
        <v>14133246.983686872</v>
      </c>
      <c r="W80" s="225">
        <f t="shared" si="80"/>
        <v>14379922.81158771</v>
      </c>
      <c r="X80" s="246">
        <f t="shared" ref="X80:X86" si="81">SUM(C80:W80)</f>
        <v>159238198.38639253</v>
      </c>
    </row>
    <row r="81" spans="2:24" x14ac:dyDescent="0.35">
      <c r="B81" s="76" t="s">
        <v>11</v>
      </c>
      <c r="C81" s="67">
        <v>2020</v>
      </c>
      <c r="D81" s="67">
        <v>2021</v>
      </c>
      <c r="E81" s="67">
        <v>2022</v>
      </c>
      <c r="F81" s="67">
        <v>2023</v>
      </c>
      <c r="G81" s="67">
        <v>2024</v>
      </c>
      <c r="H81" s="67">
        <v>2025</v>
      </c>
      <c r="I81" s="67">
        <v>2026</v>
      </c>
      <c r="J81" s="67">
        <v>2027</v>
      </c>
      <c r="K81" s="67">
        <v>2028</v>
      </c>
      <c r="L81" s="67">
        <v>2029</v>
      </c>
      <c r="M81" s="67">
        <v>2030</v>
      </c>
      <c r="N81" s="67">
        <v>2031</v>
      </c>
      <c r="O81" s="67">
        <v>2032</v>
      </c>
      <c r="P81" s="67">
        <v>2033</v>
      </c>
      <c r="Q81" s="67">
        <v>2034</v>
      </c>
      <c r="R81" s="67">
        <v>2035</v>
      </c>
      <c r="S81" s="67">
        <v>2036</v>
      </c>
      <c r="T81" s="67">
        <v>2037</v>
      </c>
      <c r="U81" s="67">
        <v>2038</v>
      </c>
      <c r="V81" s="67">
        <v>2039</v>
      </c>
      <c r="W81" s="68">
        <v>2040</v>
      </c>
      <c r="X81" s="246"/>
    </row>
    <row r="82" spans="2:24" x14ac:dyDescent="0.35">
      <c r="B82" s="3" t="s">
        <v>229</v>
      </c>
      <c r="C82" s="224">
        <f>SUM(C50:C52)</f>
        <v>1796873.8868712846</v>
      </c>
      <c r="D82" s="224">
        <f>SUM(D50:D52)*(1.03)^D37</f>
        <v>3766280.0380156338</v>
      </c>
      <c r="E82" s="224">
        <f t="shared" ref="E82:W82" si="82">SUM(E50:E52)*(1.03)^E37</f>
        <v>5542205.5344692329</v>
      </c>
      <c r="F82" s="224">
        <f t="shared" si="82"/>
        <v>7340695.7486187005</v>
      </c>
      <c r="G82" s="224">
        <f t="shared" si="82"/>
        <v>9152301.5659680013</v>
      </c>
      <c r="H82" s="224">
        <f t="shared" si="82"/>
        <v>10981809.565229135</v>
      </c>
      <c r="I82" s="224">
        <f t="shared" si="82"/>
        <v>25800676.550488122</v>
      </c>
      <c r="J82" s="224">
        <f t="shared" si="82"/>
        <v>29766423.677148063</v>
      </c>
      <c r="K82" s="224">
        <f t="shared" si="82"/>
        <v>33935144.316420741</v>
      </c>
      <c r="L82" s="224">
        <f t="shared" si="82"/>
        <v>38436176.877222106</v>
      </c>
      <c r="M82" s="224">
        <f t="shared" si="82"/>
        <v>97826697.7737533</v>
      </c>
      <c r="N82" s="224">
        <f t="shared" si="82"/>
        <v>105513823.07899621</v>
      </c>
      <c r="O82" s="224">
        <f t="shared" si="82"/>
        <v>111623932.90734194</v>
      </c>
      <c r="P82" s="224">
        <f t="shared" si="82"/>
        <v>118212566.87252812</v>
      </c>
      <c r="Q82" s="224">
        <f t="shared" si="82"/>
        <v>124829138.52344346</v>
      </c>
      <c r="R82" s="224">
        <f t="shared" si="82"/>
        <v>133559130.35034828</v>
      </c>
      <c r="S82" s="224">
        <f t="shared" si="82"/>
        <v>143543924.2407963</v>
      </c>
      <c r="T82" s="224">
        <f t="shared" si="82"/>
        <v>155599146.72422847</v>
      </c>
      <c r="U82" s="224">
        <f t="shared" si="82"/>
        <v>165821968.25829855</v>
      </c>
      <c r="V82" s="224">
        <f t="shared" si="82"/>
        <v>175461447.208395</v>
      </c>
      <c r="W82" s="224">
        <f t="shared" si="82"/>
        <v>178490564.86296511</v>
      </c>
      <c r="X82" s="246">
        <f t="shared" si="81"/>
        <v>1677000928.5615458</v>
      </c>
    </row>
    <row r="83" spans="2:24" ht="15" thickBot="1" x14ac:dyDescent="0.4">
      <c r="B83" s="6" t="s">
        <v>230</v>
      </c>
      <c r="C83" s="225">
        <f>C53</f>
        <v>7290174.0553063545</v>
      </c>
      <c r="D83" s="225">
        <f>D53*(1.03)^D37</f>
        <v>15280336.154234858</v>
      </c>
      <c r="E83" s="225">
        <f t="shared" ref="E83:W83" si="83">E53*(1.03)^E37</f>
        <v>22485519.59698946</v>
      </c>
      <c r="F83" s="225">
        <f t="shared" si="83"/>
        <v>29782251.322967298</v>
      </c>
      <c r="G83" s="225">
        <f t="shared" si="83"/>
        <v>37132194.924784459</v>
      </c>
      <c r="H83" s="225">
        <f t="shared" si="83"/>
        <v>44554770.236072481</v>
      </c>
      <c r="I83" s="225">
        <f t="shared" si="83"/>
        <v>56921950.883891962</v>
      </c>
      <c r="J83" s="225">
        <f t="shared" si="83"/>
        <v>65671258.783626169</v>
      </c>
      <c r="K83" s="225">
        <f t="shared" si="83"/>
        <v>74868370.766833335</v>
      </c>
      <c r="L83" s="225">
        <f t="shared" si="83"/>
        <v>84798635.729125038</v>
      </c>
      <c r="M83" s="225">
        <f t="shared" si="83"/>
        <v>95341377.282716468</v>
      </c>
      <c r="N83" s="225">
        <f t="shared" si="83"/>
        <v>108686288.41052176</v>
      </c>
      <c r="O83" s="225">
        <f t="shared" si="83"/>
        <v>118443520.34155338</v>
      </c>
      <c r="P83" s="225">
        <f t="shared" si="83"/>
        <v>129144791.15359719</v>
      </c>
      <c r="Q83" s="225">
        <f t="shared" si="83"/>
        <v>139792657.60687745</v>
      </c>
      <c r="R83" s="225">
        <f t="shared" si="83"/>
        <v>154984700.21688357</v>
      </c>
      <c r="S83" s="225">
        <f t="shared" si="83"/>
        <v>172823064.3542507</v>
      </c>
      <c r="T83" s="225">
        <f t="shared" si="83"/>
        <v>195103539.60954067</v>
      </c>
      <c r="U83" s="225">
        <f t="shared" si="83"/>
        <v>213211856.81975597</v>
      </c>
      <c r="V83" s="225">
        <f t="shared" si="83"/>
        <v>229899828.28271922</v>
      </c>
      <c r="W83" s="225">
        <f t="shared" si="83"/>
        <v>231866527.99740869</v>
      </c>
      <c r="X83" s="246">
        <f t="shared" si="81"/>
        <v>2228083614.5296564</v>
      </c>
    </row>
    <row r="84" spans="2:24" x14ac:dyDescent="0.35">
      <c r="B84" s="76" t="s">
        <v>12</v>
      </c>
      <c r="C84" s="67">
        <v>2020</v>
      </c>
      <c r="D84" s="67">
        <v>2021</v>
      </c>
      <c r="E84" s="67">
        <v>2022</v>
      </c>
      <c r="F84" s="67">
        <v>2023</v>
      </c>
      <c r="G84" s="67">
        <v>2024</v>
      </c>
      <c r="H84" s="67">
        <v>2025</v>
      </c>
      <c r="I84" s="67">
        <v>2026</v>
      </c>
      <c r="J84" s="67">
        <v>2027</v>
      </c>
      <c r="K84" s="67">
        <v>2028</v>
      </c>
      <c r="L84" s="67">
        <v>2029</v>
      </c>
      <c r="M84" s="67">
        <v>2030</v>
      </c>
      <c r="N84" s="67">
        <v>2031</v>
      </c>
      <c r="O84" s="67">
        <v>2032</v>
      </c>
      <c r="P84" s="67">
        <v>2033</v>
      </c>
      <c r="Q84" s="67">
        <v>2034</v>
      </c>
      <c r="R84" s="67">
        <v>2035</v>
      </c>
      <c r="S84" s="67">
        <v>2036</v>
      </c>
      <c r="T84" s="67">
        <v>2037</v>
      </c>
      <c r="U84" s="67">
        <v>2038</v>
      </c>
      <c r="V84" s="67">
        <v>2039</v>
      </c>
      <c r="W84" s="68">
        <v>2040</v>
      </c>
      <c r="X84" s="246"/>
    </row>
    <row r="85" spans="2:24" x14ac:dyDescent="0.35">
      <c r="B85" s="3" t="s">
        <v>229</v>
      </c>
      <c r="C85" s="224">
        <f>SUM(C61:C63)</f>
        <v>6970295.5437554838</v>
      </c>
      <c r="D85" s="224">
        <f>SUM(D61:D63)*(1.03)^D37</f>
        <v>14547417.596557118</v>
      </c>
      <c r="E85" s="224">
        <f t="shared" ref="E85:W85" si="84">SUM(E61:E63)*(1.03)^E37</f>
        <v>21210464.066856768</v>
      </c>
      <c r="F85" s="224">
        <f t="shared" si="84"/>
        <v>27951479.025580991</v>
      </c>
      <c r="G85" s="224">
        <f t="shared" si="84"/>
        <v>34907275.529591978</v>
      </c>
      <c r="H85" s="224">
        <f t="shared" si="84"/>
        <v>42103531.712338582</v>
      </c>
      <c r="I85" s="224">
        <f t="shared" si="84"/>
        <v>78159459.88263537</v>
      </c>
      <c r="J85" s="224">
        <f t="shared" si="84"/>
        <v>90624676.44659169</v>
      </c>
      <c r="K85" s="224">
        <f t="shared" si="84"/>
        <v>103786781.49010859</v>
      </c>
      <c r="L85" s="224">
        <f t="shared" si="84"/>
        <v>117782563.23432958</v>
      </c>
      <c r="M85" s="224">
        <f t="shared" si="84"/>
        <v>261298171.47843847</v>
      </c>
      <c r="N85" s="224">
        <f t="shared" si="84"/>
        <v>276323926.93187678</v>
      </c>
      <c r="O85" s="224">
        <f t="shared" si="84"/>
        <v>285787791.88714111</v>
      </c>
      <c r="P85" s="224">
        <f t="shared" si="84"/>
        <v>296462027.27865911</v>
      </c>
      <c r="Q85" s="224">
        <f t="shared" si="84"/>
        <v>307282815.62863028</v>
      </c>
      <c r="R85" s="224">
        <f t="shared" si="84"/>
        <v>323811324.76652312</v>
      </c>
      <c r="S85" s="224">
        <f t="shared" si="84"/>
        <v>342491934.35405999</v>
      </c>
      <c r="T85" s="224">
        <f t="shared" si="84"/>
        <v>365105735.95254248</v>
      </c>
      <c r="U85" s="224">
        <f t="shared" si="84"/>
        <v>381359516.89016795</v>
      </c>
      <c r="V85" s="224">
        <f t="shared" si="84"/>
        <v>395421425.56713581</v>
      </c>
      <c r="W85" s="224">
        <f t="shared" si="84"/>
        <v>390936931.48066849</v>
      </c>
      <c r="X85" s="246">
        <f t="shared" si="81"/>
        <v>4164325546.7441897</v>
      </c>
    </row>
    <row r="86" spans="2:24" ht="15" thickBot="1" x14ac:dyDescent="0.4">
      <c r="B86" s="6" t="s">
        <v>230</v>
      </c>
      <c r="C86" s="225">
        <f>C64</f>
        <v>12796214.207192903</v>
      </c>
      <c r="D86" s="225">
        <f>D64*(1.03)^D37</f>
        <v>26706453.199649632</v>
      </c>
      <c r="E86" s="225">
        <f t="shared" ref="E86:W86" si="85">E64*(1.03)^E37</f>
        <v>38938613.137662418</v>
      </c>
      <c r="F86" s="225">
        <f t="shared" si="85"/>
        <v>51313909.255917341</v>
      </c>
      <c r="G86" s="225">
        <f t="shared" si="85"/>
        <v>64083505.822982296</v>
      </c>
      <c r="H86" s="225">
        <f t="shared" si="85"/>
        <v>77294543.292800665</v>
      </c>
      <c r="I86" s="225">
        <f t="shared" si="85"/>
        <v>125534886.9726215</v>
      </c>
      <c r="J86" s="225">
        <f t="shared" si="85"/>
        <v>145555746.31319585</v>
      </c>
      <c r="K86" s="225">
        <f t="shared" si="85"/>
        <v>166695904.79741225</v>
      </c>
      <c r="L86" s="225">
        <f t="shared" si="85"/>
        <v>189175063.19989508</v>
      </c>
      <c r="M86" s="225">
        <f t="shared" si="85"/>
        <v>212659709.50997403</v>
      </c>
      <c r="N86" s="225">
        <f t="shared" si="85"/>
        <v>230582510.70347142</v>
      </c>
      <c r="O86" s="225">
        <f t="shared" si="85"/>
        <v>239385828.50158182</v>
      </c>
      <c r="P86" s="225">
        <f t="shared" si="85"/>
        <v>249941259.69095045</v>
      </c>
      <c r="Q86" s="225">
        <f t="shared" si="85"/>
        <v>260534409.22043082</v>
      </c>
      <c r="R86" s="225">
        <f t="shared" si="85"/>
        <v>280091350.68413657</v>
      </c>
      <c r="S86" s="225">
        <f t="shared" si="85"/>
        <v>302895158.88336104</v>
      </c>
      <c r="T86" s="225">
        <f t="shared" si="85"/>
        <v>331800221.73328018</v>
      </c>
      <c r="U86" s="225">
        <f t="shared" si="85"/>
        <v>350267738.26630896</v>
      </c>
      <c r="V86" s="225">
        <f t="shared" si="85"/>
        <v>364985656.22229064</v>
      </c>
      <c r="W86" s="225">
        <f t="shared" si="85"/>
        <v>349679466.46142399</v>
      </c>
      <c r="X86" s="246">
        <f t="shared" si="81"/>
        <v>4070918150.0765395</v>
      </c>
    </row>
    <row r="88" spans="2:24" x14ac:dyDescent="0.35">
      <c r="B88" s="2" t="s">
        <v>231</v>
      </c>
    </row>
    <row r="89" spans="2:24" ht="15" thickBot="1" x14ac:dyDescent="0.4"/>
    <row r="90" spans="2:24" x14ac:dyDescent="0.35">
      <c r="B90" s="76" t="s">
        <v>10</v>
      </c>
      <c r="C90" s="67">
        <v>2020</v>
      </c>
      <c r="D90" s="67">
        <v>2021</v>
      </c>
      <c r="E90" s="67">
        <v>2022</v>
      </c>
      <c r="F90" s="67">
        <v>2023</v>
      </c>
      <c r="G90" s="67">
        <v>2024</v>
      </c>
      <c r="H90" s="67">
        <v>2025</v>
      </c>
      <c r="I90" s="67">
        <v>2026</v>
      </c>
      <c r="J90" s="67">
        <v>2027</v>
      </c>
      <c r="K90" s="67">
        <v>2028</v>
      </c>
      <c r="L90" s="67">
        <v>2029</v>
      </c>
      <c r="M90" s="67">
        <v>2030</v>
      </c>
      <c r="N90" s="67">
        <v>2031</v>
      </c>
      <c r="O90" s="67">
        <v>2032</v>
      </c>
      <c r="P90" s="67">
        <v>2033</v>
      </c>
      <c r="Q90" s="67">
        <v>2034</v>
      </c>
      <c r="R90" s="67">
        <v>2035</v>
      </c>
      <c r="S90" s="67">
        <v>2036</v>
      </c>
      <c r="T90" s="67">
        <v>2037</v>
      </c>
      <c r="U90" s="67">
        <v>2038</v>
      </c>
      <c r="V90" s="67">
        <v>2039</v>
      </c>
      <c r="W90" s="68">
        <v>2040</v>
      </c>
      <c r="X90" s="249" t="s">
        <v>142</v>
      </c>
    </row>
    <row r="91" spans="2:24" x14ac:dyDescent="0.35">
      <c r="B91" s="3" t="s">
        <v>229</v>
      </c>
      <c r="C91" s="224">
        <f>(('20-Year Summary Costs'!F11*1000000)+C79)</f>
        <v>114848706.00427437</v>
      </c>
      <c r="D91" s="224">
        <f>(('20-Year Summary Costs'!G11*1000000)+D79)</f>
        <v>134648398.45101237</v>
      </c>
      <c r="E91" s="224">
        <f>(('20-Year Summary Costs'!H11*1000000)+E79)</f>
        <v>151849131.53078106</v>
      </c>
      <c r="F91" s="224">
        <f>(('20-Year Summary Costs'!I11*1000000)+F79)</f>
        <v>114293914.45530964</v>
      </c>
      <c r="G91" s="224">
        <f>(('20-Year Summary Costs'!J11*1000000)+G79)</f>
        <v>121531166.51833797</v>
      </c>
      <c r="H91" s="224">
        <f>(('20-Year Summary Costs'!K11*1000000)+H79)</f>
        <v>103942827.08822419</v>
      </c>
      <c r="I91" s="224">
        <f>(('20-Year Summary Costs'!L11*1000000)+I79)</f>
        <v>105657124.64776175</v>
      </c>
      <c r="J91" s="224">
        <f>(('20-Year Summary Costs'!M11*1000000)+J79)</f>
        <v>208132038.01822951</v>
      </c>
      <c r="K91" s="224">
        <f>(('20-Year Summary Costs'!N11*1000000)+K79)</f>
        <v>111117626.43686253</v>
      </c>
      <c r="L91" s="224">
        <f>(('20-Year Summary Costs'!O11*1000000)+L79)</f>
        <v>114287436.27947232</v>
      </c>
      <c r="M91" s="224">
        <f>(('20-Year Summary Costs'!P11*1000000)+M79)</f>
        <v>166855014.43179327</v>
      </c>
      <c r="N91" s="224">
        <f>(('20-Year Summary Costs'!Q11*1000000)+N79)</f>
        <v>114741589.84269568</v>
      </c>
      <c r="O91" s="224">
        <f>(('20-Year Summary Costs'!R11*1000000)+O79)</f>
        <v>120337697.51689234</v>
      </c>
      <c r="P91" s="224">
        <f>(('20-Year Summary Costs'!S11*1000000)+P79)</f>
        <v>1012683962.10694</v>
      </c>
      <c r="Q91" s="224">
        <f>(('20-Year Summary Costs'!T11*1000000)+Q79)</f>
        <v>1017861916.6303835</v>
      </c>
      <c r="R91" s="224">
        <f>(('20-Year Summary Costs'!U11*1000000)+R79)</f>
        <v>136488571.36343795</v>
      </c>
      <c r="S91" s="224">
        <f>(('20-Year Summary Costs'!V11*1000000)+S79)</f>
        <v>141026177.47187328</v>
      </c>
      <c r="T91" s="224">
        <f>(('20-Year Summary Costs'!W11*1000000)+T79)</f>
        <v>146031058.15994278</v>
      </c>
      <c r="U91" s="224">
        <f>(('20-Year Summary Costs'!X11*1000000)+U79)</f>
        <v>150771936.30889606</v>
      </c>
      <c r="V91" s="224">
        <f>(('20-Year Summary Costs'!Y11*1000000)+V79)</f>
        <v>156807294.77013487</v>
      </c>
      <c r="W91" s="248">
        <f>(('20-Year Summary Costs'!Z11*1000000)+W79)</f>
        <v>160953689.47109157</v>
      </c>
      <c r="X91" s="251">
        <f>SUM(C91:W91)</f>
        <v>4604867277.5043468</v>
      </c>
    </row>
    <row r="92" spans="2:24" ht="15" thickBot="1" x14ac:dyDescent="0.4">
      <c r="B92" s="6" t="s">
        <v>230</v>
      </c>
      <c r="C92" s="225">
        <f>(('20-Year Summary Costs'!F12*1000000)+C80)</f>
        <v>286337483.35221261</v>
      </c>
      <c r="D92" s="225">
        <f>(('20-Year Summary Costs'!G12*1000000)+D80)</f>
        <v>310507342.38658202</v>
      </c>
      <c r="E92" s="225">
        <f>(('20-Year Summary Costs'!H12*1000000)+E80)</f>
        <v>351082903.16924089</v>
      </c>
      <c r="F92" s="225">
        <f>(('20-Year Summary Costs'!I12*1000000)+F80)</f>
        <v>455929800.10455114</v>
      </c>
      <c r="G92" s="225">
        <f>(('20-Year Summary Costs'!J12*1000000)+G80)</f>
        <v>421262304.50702697</v>
      </c>
      <c r="H92" s="225">
        <f>(('20-Year Summary Costs'!K12*1000000)+H80)</f>
        <v>406880308.3258912</v>
      </c>
      <c r="I92" s="225">
        <f>(('20-Year Summary Costs'!L12*1000000)+I80)</f>
        <v>517457247.10387468</v>
      </c>
      <c r="J92" s="225">
        <f>(('20-Year Summary Costs'!M12*1000000)+J80)</f>
        <v>510978882.56653947</v>
      </c>
      <c r="K92" s="225">
        <f>(('20-Year Summary Costs'!N12*1000000)+K80)</f>
        <v>460680021.69281697</v>
      </c>
      <c r="L92" s="225">
        <f>(('20-Year Summary Costs'!O12*1000000)+L80)</f>
        <v>533163972.77964646</v>
      </c>
      <c r="M92" s="225">
        <f>(('20-Year Summary Costs'!P12*1000000)+M80)</f>
        <v>432518195.11089021</v>
      </c>
      <c r="N92" s="225">
        <f>(('20-Year Summary Costs'!Q12*1000000)+N80)</f>
        <v>736239173.90487289</v>
      </c>
      <c r="O92" s="225">
        <f>(('20-Year Summary Costs'!R12*1000000)+O80)</f>
        <v>741836392.62154281</v>
      </c>
      <c r="P92" s="225">
        <f>(('20-Year Summary Costs'!S12*1000000)+P80)</f>
        <v>775816143.03811979</v>
      </c>
      <c r="Q92" s="225">
        <f>(('20-Year Summary Costs'!T12*1000000)+Q80)</f>
        <v>734772016.02036965</v>
      </c>
      <c r="R92" s="225">
        <f>(('20-Year Summary Costs'!U12*1000000)+R80)</f>
        <v>728981562.25361896</v>
      </c>
      <c r="S92" s="225">
        <f>(('20-Year Summary Costs'!V12*1000000)+S80)</f>
        <v>735304772.47081602</v>
      </c>
      <c r="T92" s="225">
        <f>(('20-Year Summary Costs'!W12*1000000)+T80)</f>
        <v>744038591.47035134</v>
      </c>
      <c r="U92" s="225">
        <f>(('20-Year Summary Costs'!X12*1000000)+U80)</f>
        <v>767694297.00190175</v>
      </c>
      <c r="V92" s="225">
        <f>(('20-Year Summary Costs'!Y12*1000000)+V80)</f>
        <v>779908214.6089313</v>
      </c>
      <c r="W92" s="247">
        <f>(('20-Year Summary Costs'!Z12*1000000)+W80)</f>
        <v>799887485.23343909</v>
      </c>
      <c r="X92" s="252">
        <f>SUM(C92:W92)</f>
        <v>12231277109.723234</v>
      </c>
    </row>
    <row r="93" spans="2:24" x14ac:dyDescent="0.35">
      <c r="B93" s="76" t="s">
        <v>11</v>
      </c>
      <c r="C93" s="67">
        <v>2020</v>
      </c>
      <c r="D93" s="67">
        <v>2021</v>
      </c>
      <c r="E93" s="67">
        <v>2022</v>
      </c>
      <c r="F93" s="67">
        <v>2023</v>
      </c>
      <c r="G93" s="67">
        <v>2024</v>
      </c>
      <c r="H93" s="67">
        <v>2025</v>
      </c>
      <c r="I93" s="67">
        <v>2026</v>
      </c>
      <c r="J93" s="67">
        <v>2027</v>
      </c>
      <c r="K93" s="67">
        <v>2028</v>
      </c>
      <c r="L93" s="67">
        <v>2029</v>
      </c>
      <c r="M93" s="67">
        <v>2030</v>
      </c>
      <c r="N93" s="67">
        <v>2031</v>
      </c>
      <c r="O93" s="67">
        <v>2032</v>
      </c>
      <c r="P93" s="67">
        <v>2033</v>
      </c>
      <c r="Q93" s="67">
        <v>2034</v>
      </c>
      <c r="R93" s="67">
        <v>2035</v>
      </c>
      <c r="S93" s="67">
        <v>2036</v>
      </c>
      <c r="T93" s="67">
        <v>2037</v>
      </c>
      <c r="U93" s="67">
        <v>2038</v>
      </c>
      <c r="V93" s="67">
        <v>2039</v>
      </c>
      <c r="W93" s="68">
        <v>2040</v>
      </c>
      <c r="X93" s="249" t="s">
        <v>142</v>
      </c>
    </row>
    <row r="94" spans="2:24" x14ac:dyDescent="0.35">
      <c r="B94" s="3" t="s">
        <v>229</v>
      </c>
      <c r="C94" s="224">
        <f>(('20-Year Summary Costs'!F11*1000000)+C82)</f>
        <v>115978931.74941862</v>
      </c>
      <c r="D94" s="224">
        <f>(('20-Year Summary Costs'!G11*1000000)+D82)</f>
        <v>136963774.03801566</v>
      </c>
      <c r="E94" s="224">
        <f>(('20-Year Summary Costs'!H11*1000000)+E82)</f>
        <v>155165131.53446925</v>
      </c>
      <c r="F94" s="224">
        <f>(('20-Year Summary Costs'!I11*1000000)+F82)</f>
        <v>118628058.74861871</v>
      </c>
      <c r="G94" s="224">
        <f>(('20-Year Summary Costs'!J11*1000000)+G82)</f>
        <v>126960451.56596799</v>
      </c>
      <c r="H94" s="224">
        <f>(('20-Year Summary Costs'!K11*1000000)+H82)</f>
        <v>110557625.60658026</v>
      </c>
      <c r="I94" s="224">
        <f>(('20-Year Summary Costs'!L11*1000000)+I82)</f>
        <v>116914875.91038877</v>
      </c>
      <c r="J94" s="224">
        <f>(('20-Year Summary Costs'!M11*1000000)+J82)</f>
        <v>221640672.99161652</v>
      </c>
      <c r="K94" s="224">
        <f>(('20-Year Summary Costs'!N11*1000000)+K82)</f>
        <v>127042895.18505767</v>
      </c>
      <c r="L94" s="224">
        <f>(('20-Year Summary Costs'!O11*1000000)+L82)</f>
        <v>132668474.73621552</v>
      </c>
      <c r="M94" s="224">
        <f>(('20-Year Summary Costs'!P11*1000000)+M82)</f>
        <v>193160720.86457872</v>
      </c>
      <c r="N94" s="224">
        <f>(('20-Year Summary Costs'!Q11*1000000)+N82)</f>
        <v>143739535.77569771</v>
      </c>
      <c r="O94" s="224">
        <f>(('20-Year Summary Costs'!R11*1000000)+O82)</f>
        <v>150996416.98494449</v>
      </c>
      <c r="P94" s="224">
        <f>(('20-Year Summary Costs'!S11*1000000)+P82)</f>
        <v>1045313648.9591985</v>
      </c>
      <c r="Q94" s="224">
        <f>(('20-Year Summary Costs'!T11*1000000)+Q82)</f>
        <v>1053146830.3681118</v>
      </c>
      <c r="R94" s="224">
        <f>(('20-Year Summary Costs'!U11*1000000)+R82)</f>
        <v>176582506.7590147</v>
      </c>
      <c r="S94" s="224">
        <f>(('20-Year Summary Costs'!V11*1000000)+S82)</f>
        <v>187858001.94172275</v>
      </c>
      <c r="T94" s="224">
        <f>(('20-Year Summary Costs'!W11*1000000)+T82)</f>
        <v>201242646.7561827</v>
      </c>
      <c r="U94" s="224">
        <f>(('20-Year Summary Costs'!X11*1000000)+U82)</f>
        <v>212834773.2912114</v>
      </c>
      <c r="V94" s="224">
        <f>(('20-Year Summary Costs'!Y11*1000000)+V82)</f>
        <v>223884636.39229518</v>
      </c>
      <c r="W94" s="248">
        <f>(('20-Year Summary Costs'!Z11*1000000)+W82)</f>
        <v>228366449.72238234</v>
      </c>
      <c r="X94" s="251">
        <f>SUM(C94:W94)</f>
        <v>5179647059.8816881</v>
      </c>
    </row>
    <row r="95" spans="2:24" ht="15" thickBot="1" x14ac:dyDescent="0.4">
      <c r="B95" s="6" t="s">
        <v>230</v>
      </c>
      <c r="C95" s="224">
        <f>(('20-Year Summary Costs'!F12*1000000)+C83)</f>
        <v>293056244.7146101</v>
      </c>
      <c r="D95" s="224">
        <f>(('20-Year Summary Costs'!G12*1000000)+D83)</f>
        <v>324544046.15423489</v>
      </c>
      <c r="E95" s="224">
        <f>(('20-Year Summary Costs'!H12*1000000)+E83)</f>
        <v>371660246.59698945</v>
      </c>
      <c r="F95" s="224">
        <f>(('20-Year Summary Costs'!I12*1000000)+F83)</f>
        <v>483135007.32296729</v>
      </c>
      <c r="G95" s="224">
        <f>(('20-Year Summary Costs'!J12*1000000)+G83)</f>
        <v>455203342.41609317</v>
      </c>
      <c r="H95" s="224">
        <f>(('20-Year Summary Costs'!K12*1000000)+H83)</f>
        <v>447691926.23607248</v>
      </c>
      <c r="I95" s="224">
        <f>(('20-Year Summary Costs'!L12*1000000)+I83)</f>
        <v>569756281.33996975</v>
      </c>
      <c r="J95" s="224">
        <f>(('20-Year Summary Costs'!M12*1000000)+J83)</f>
        <v>571482102.55691707</v>
      </c>
      <c r="K95" s="224">
        <f>(('20-Year Summary Costs'!N12*1000000)+K83)</f>
        <v>529823398.90153885</v>
      </c>
      <c r="L95" s="224">
        <f>(('20-Year Summary Costs'!O12*1000000)+L83)</f>
        <v>611587465.16981137</v>
      </c>
      <c r="M95" s="224">
        <f>(('20-Year Summary Costs'!P12*1000000)+M83)</f>
        <v>520697994.45356131</v>
      </c>
      <c r="N95" s="224">
        <f>(('20-Year Summary Costs'!Q12*1000000)+N83)</f>
        <v>836643313.25496066</v>
      </c>
      <c r="O95" s="224">
        <f>(('20-Year Summary Costs'!R12*1000000)+O83)</f>
        <v>851064628.70907462</v>
      </c>
      <c r="P95" s="224">
        <f>(('20-Year Summary Costs'!S12*1000000)+P83)</f>
        <v>894773442.47938311</v>
      </c>
      <c r="Q95" s="224">
        <f>(('20-Year Summary Costs'!T12*1000000)+Q83)</f>
        <v>863628476.35882664</v>
      </c>
      <c r="R95" s="224">
        <f>(('20-Year Summary Costs'!U12*1000000)+R83)</f>
        <v>872309509.85076272</v>
      </c>
      <c r="S95" s="224">
        <f>(('20-Year Summary Costs'!V12*1000000)+S83)</f>
        <v>895980576.65692306</v>
      </c>
      <c r="T95" s="224">
        <f>(('20-Year Summary Costs'!W12*1000000)+T83)</f>
        <v>926384383.05724823</v>
      </c>
      <c r="U95" s="224">
        <f>(('20-Year Summary Costs'!X12*1000000)+U83)</f>
        <v>967651253.30933166</v>
      </c>
      <c r="V95" s="224">
        <f>(('20-Year Summary Costs'!Y12*1000000)+V83)</f>
        <v>995674795.90796363</v>
      </c>
      <c r="W95" s="248">
        <f>(('20-Year Summary Costs'!Z12*1000000)+W83)</f>
        <v>1017374090.41926</v>
      </c>
      <c r="X95" s="253">
        <f>SUM(C95:W95)</f>
        <v>14300122525.866503</v>
      </c>
    </row>
    <row r="96" spans="2:24" x14ac:dyDescent="0.35">
      <c r="B96" s="76" t="s">
        <v>12</v>
      </c>
      <c r="C96" s="67">
        <v>2020</v>
      </c>
      <c r="D96" s="67">
        <v>2021</v>
      </c>
      <c r="E96" s="67">
        <v>2022</v>
      </c>
      <c r="F96" s="67">
        <v>2023</v>
      </c>
      <c r="G96" s="67">
        <v>2024</v>
      </c>
      <c r="H96" s="67">
        <v>2025</v>
      </c>
      <c r="I96" s="67">
        <v>2026</v>
      </c>
      <c r="J96" s="67">
        <v>2027</v>
      </c>
      <c r="K96" s="67">
        <v>2028</v>
      </c>
      <c r="L96" s="67">
        <v>2029</v>
      </c>
      <c r="M96" s="67">
        <v>2030</v>
      </c>
      <c r="N96" s="67">
        <v>2031</v>
      </c>
      <c r="O96" s="67">
        <v>2032</v>
      </c>
      <c r="P96" s="67">
        <v>2033</v>
      </c>
      <c r="Q96" s="67">
        <v>2034</v>
      </c>
      <c r="R96" s="67">
        <v>2035</v>
      </c>
      <c r="S96" s="67">
        <v>2036</v>
      </c>
      <c r="T96" s="67">
        <v>2037</v>
      </c>
      <c r="U96" s="67">
        <v>2038</v>
      </c>
      <c r="V96" s="67">
        <v>2039</v>
      </c>
      <c r="W96" s="68">
        <v>2040</v>
      </c>
      <c r="X96" s="250" t="s">
        <v>142</v>
      </c>
    </row>
    <row r="97" spans="2:24" x14ac:dyDescent="0.35">
      <c r="B97" s="3" t="s">
        <v>229</v>
      </c>
      <c r="C97" s="224">
        <f>(('20-Year Summary Costs'!F11*1000000)+C85)</f>
        <v>121152353.40630282</v>
      </c>
      <c r="D97" s="224">
        <f>(('20-Year Summary Costs'!G11*1000000)+D85)</f>
        <v>147744911.59655714</v>
      </c>
      <c r="E97" s="224">
        <f>(('20-Year Summary Costs'!H11*1000000)+E85)</f>
        <v>170833390.06685677</v>
      </c>
      <c r="F97" s="224">
        <f>(('20-Year Summary Costs'!I11*1000000)+F85)</f>
        <v>139238842.025581</v>
      </c>
      <c r="G97" s="224">
        <f>(('20-Year Summary Costs'!J11*1000000)+G85)</f>
        <v>152715425.52959198</v>
      </c>
      <c r="H97" s="224">
        <f>(('20-Year Summary Costs'!K11*1000000)+H85)</f>
        <v>141679347.75368971</v>
      </c>
      <c r="I97" s="224">
        <f>(('20-Year Summary Costs'!L11*1000000)+I85)</f>
        <v>169273659.24253601</v>
      </c>
      <c r="J97" s="224">
        <f>(('20-Year Summary Costs'!M11*1000000)+J85)</f>
        <v>282498925.76106012</v>
      </c>
      <c r="K97" s="224">
        <f>(('20-Year Summary Costs'!N11*1000000)+K85)</f>
        <v>196894532.35874552</v>
      </c>
      <c r="L97" s="224">
        <f>(('20-Year Summary Costs'!O11*1000000)+L85)</f>
        <v>212014861.09332299</v>
      </c>
      <c r="M97" s="224">
        <f>(('20-Year Summary Costs'!P11*1000000)+M85)</f>
        <v>356632194.56926388</v>
      </c>
      <c r="N97" s="224">
        <f>(('20-Year Summary Costs'!Q11*1000000)+N85)</f>
        <v>314549639.62857831</v>
      </c>
      <c r="O97" s="224">
        <f>(('20-Year Summary Costs'!R11*1000000)+O85)</f>
        <v>325160275.96474367</v>
      </c>
      <c r="P97" s="224">
        <f>(('20-Year Summary Costs'!S11*1000000)+P85)</f>
        <v>1223563109.3653295</v>
      </c>
      <c r="Q97" s="224">
        <f>(('20-Year Summary Costs'!T11*1000000)+Q85)</f>
        <v>1235600507.4732985</v>
      </c>
      <c r="R97" s="224">
        <f>(('20-Year Summary Costs'!U11*1000000)+R85)</f>
        <v>366834701.17518955</v>
      </c>
      <c r="S97" s="224">
        <f>(('20-Year Summary Costs'!V11*1000000)+S85)</f>
        <v>386806012.05498642</v>
      </c>
      <c r="T97" s="224">
        <f>(('20-Year Summary Costs'!W11*1000000)+T85)</f>
        <v>410749235.98449671</v>
      </c>
      <c r="U97" s="224">
        <f>(('20-Year Summary Costs'!X11*1000000)+U85)</f>
        <v>428372321.9230808</v>
      </c>
      <c r="V97" s="224">
        <f>(('20-Year Summary Costs'!Y11*1000000)+V85)</f>
        <v>443844614.75103599</v>
      </c>
      <c r="W97" s="248">
        <f>(('20-Year Summary Costs'!Z11*1000000)+W85)</f>
        <v>440812816.34008574</v>
      </c>
      <c r="X97" s="251">
        <f>SUM(C97:W97)</f>
        <v>7666971678.0643339</v>
      </c>
    </row>
    <row r="98" spans="2:24" ht="15" thickBot="1" x14ac:dyDescent="0.4">
      <c r="B98" s="6" t="s">
        <v>230</v>
      </c>
      <c r="C98" s="225">
        <f>(('20-Year Summary Costs'!F12*1000000)+C86)</f>
        <v>298562284.86649662</v>
      </c>
      <c r="D98" s="225">
        <f>(('20-Year Summary Costs'!G12*1000000)+D86)</f>
        <v>335970163.19964963</v>
      </c>
      <c r="E98" s="225">
        <f>(('20-Year Summary Costs'!H12*1000000)+E86)</f>
        <v>388113340.13766241</v>
      </c>
      <c r="F98" s="225">
        <f>(('20-Year Summary Costs'!I12*1000000)+F86)</f>
        <v>504666665.25591731</v>
      </c>
      <c r="G98" s="225">
        <f>(('20-Year Summary Costs'!J12*1000000)+G86)</f>
        <v>482154653.314291</v>
      </c>
      <c r="H98" s="225">
        <f>(('20-Year Summary Costs'!K12*1000000)+H86)</f>
        <v>480431699.29280066</v>
      </c>
      <c r="I98" s="225">
        <f>(('20-Year Summary Costs'!L12*1000000)+I86)</f>
        <v>638369217.42869925</v>
      </c>
      <c r="J98" s="225">
        <f>(('20-Year Summary Costs'!M12*1000000)+J86)</f>
        <v>651366590.08648682</v>
      </c>
      <c r="K98" s="225">
        <f>(('20-Year Summary Costs'!N12*1000000)+K86)</f>
        <v>621650932.93211782</v>
      </c>
      <c r="L98" s="225">
        <f>(('20-Year Summary Costs'!O12*1000000)+L86)</f>
        <v>715963892.64058137</v>
      </c>
      <c r="M98" s="225">
        <f>(('20-Year Summary Costs'!P12*1000000)+M86)</f>
        <v>638016326.68081892</v>
      </c>
      <c r="N98" s="225">
        <f>(('20-Year Summary Costs'!Q12*1000000)+N86)</f>
        <v>958539535.54791033</v>
      </c>
      <c r="O98" s="225">
        <f>(('20-Year Summary Costs'!R12*1000000)+O86)</f>
        <v>972006936.86910307</v>
      </c>
      <c r="P98" s="225">
        <f>(('20-Year Summary Costs'!S12*1000000)+P86)</f>
        <v>1015569911.0167363</v>
      </c>
      <c r="Q98" s="225">
        <f>(('20-Year Summary Costs'!T12*1000000)+Q86)</f>
        <v>984370227.97238004</v>
      </c>
      <c r="R98" s="225">
        <f>(('20-Year Summary Costs'!U12*1000000)+R86)</f>
        <v>997416160.31801581</v>
      </c>
      <c r="S98" s="225">
        <f>(('20-Year Summary Costs'!V12*1000000)+S86)</f>
        <v>1026052671.1860335</v>
      </c>
      <c r="T98" s="225">
        <f>(('20-Year Summary Costs'!W12*1000000)+T86)</f>
        <v>1063081065.1809877</v>
      </c>
      <c r="U98" s="225">
        <f>(('20-Year Summary Costs'!X12*1000000)+U86)</f>
        <v>1104707134.7558846</v>
      </c>
      <c r="V98" s="225">
        <f>(('20-Year Summary Costs'!Y12*1000000)+V86)</f>
        <v>1130760623.8475351</v>
      </c>
      <c r="W98" s="247">
        <f>(('20-Year Summary Costs'!Z12*1000000)+W86)</f>
        <v>1135187028.8832755</v>
      </c>
      <c r="X98" s="253">
        <f>SUM(C98:W98)</f>
        <v>16142957061.413385</v>
      </c>
    </row>
  </sheetData>
  <pageMargins left="0.7" right="0.7" top="0.75" bottom="0.75" header="0.3" footer="0.3"/>
  <pageSetup orientation="portrait" horizontalDpi="1200" verticalDpi="1200"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62"/>
  <sheetViews>
    <sheetView workbookViewId="0">
      <pane xSplit="5" ySplit="6" topLeftCell="F58" activePane="bottomRight" state="frozen"/>
      <selection pane="topRight" activeCell="F1" sqref="F1"/>
      <selection pane="bottomLeft" activeCell="A7" sqref="A7"/>
      <selection pane="bottomRight" activeCell="B62" sqref="B62"/>
    </sheetView>
  </sheetViews>
  <sheetFormatPr defaultRowHeight="14.5" x14ac:dyDescent="0.35"/>
  <cols>
    <col min="2" max="2" width="45" bestFit="1" customWidth="1"/>
    <col min="3" max="16" width="14.81640625" bestFit="1" customWidth="1"/>
    <col min="17" max="23" width="16.453125" bestFit="1" customWidth="1"/>
    <col min="24" max="24" width="13.81640625" bestFit="1" customWidth="1"/>
  </cols>
  <sheetData>
    <row r="2" spans="2:26" x14ac:dyDescent="0.35">
      <c r="B2" s="2" t="s">
        <v>232</v>
      </c>
    </row>
    <row r="6" spans="2:26" x14ac:dyDescent="0.35">
      <c r="B6" s="212" t="s">
        <v>74</v>
      </c>
      <c r="C6" s="212"/>
      <c r="D6" s="212"/>
      <c r="E6" s="212"/>
      <c r="F6" s="213">
        <v>2020</v>
      </c>
      <c r="G6" s="213">
        <v>2021</v>
      </c>
      <c r="H6" s="213">
        <v>2022</v>
      </c>
      <c r="I6" s="213">
        <v>2023</v>
      </c>
      <c r="J6" s="213">
        <v>2024</v>
      </c>
      <c r="K6" s="213">
        <v>2025</v>
      </c>
      <c r="L6" s="213">
        <v>2026</v>
      </c>
      <c r="M6" s="213">
        <v>2027</v>
      </c>
      <c r="N6" s="213">
        <v>2028</v>
      </c>
      <c r="O6" s="213">
        <v>2029</v>
      </c>
      <c r="P6" s="213">
        <v>2030</v>
      </c>
      <c r="Q6" s="213">
        <v>2031</v>
      </c>
      <c r="R6" s="213">
        <v>2032</v>
      </c>
      <c r="S6" s="213">
        <v>2033</v>
      </c>
      <c r="T6" s="213">
        <v>2034</v>
      </c>
      <c r="U6" s="213">
        <v>2035</v>
      </c>
      <c r="V6" s="213">
        <v>2036</v>
      </c>
      <c r="W6" s="213">
        <v>2037</v>
      </c>
      <c r="X6" s="213">
        <v>2038</v>
      </c>
      <c r="Y6" s="213">
        <v>2039</v>
      </c>
      <c r="Z6" s="213">
        <v>2040</v>
      </c>
    </row>
    <row r="7" spans="2:26" x14ac:dyDescent="0.35">
      <c r="B7" s="212"/>
      <c r="C7" s="212"/>
      <c r="D7" s="212"/>
      <c r="E7" s="212"/>
      <c r="F7" s="212"/>
      <c r="G7" s="212"/>
      <c r="H7" s="212"/>
      <c r="I7" s="212"/>
      <c r="J7" s="212"/>
      <c r="K7" s="212"/>
      <c r="L7" s="212"/>
      <c r="M7" s="212"/>
      <c r="N7" s="212"/>
      <c r="O7" s="212"/>
      <c r="P7" s="212"/>
      <c r="Q7" s="212"/>
      <c r="R7" s="212"/>
      <c r="S7" s="212"/>
      <c r="T7" s="212"/>
      <c r="U7" s="212"/>
      <c r="V7" s="212"/>
      <c r="W7" s="212"/>
      <c r="X7" s="212"/>
      <c r="Y7" s="212"/>
      <c r="Z7" s="212"/>
    </row>
    <row r="8" spans="2:26" x14ac:dyDescent="0.35">
      <c r="B8" s="214" t="s">
        <v>233</v>
      </c>
      <c r="C8" s="215"/>
      <c r="D8" s="215"/>
      <c r="E8" s="215"/>
      <c r="F8" s="215"/>
      <c r="G8" s="215"/>
      <c r="H8" s="215"/>
      <c r="I8" s="215"/>
      <c r="J8" s="215"/>
      <c r="K8" s="215"/>
      <c r="L8" s="215"/>
      <c r="M8" s="215"/>
      <c r="N8" s="215"/>
      <c r="O8" s="215"/>
      <c r="P8" s="215"/>
      <c r="Q8" s="215"/>
      <c r="R8" s="215"/>
      <c r="S8" s="215"/>
      <c r="T8" s="215"/>
      <c r="U8" s="215"/>
      <c r="V8" s="215"/>
      <c r="W8" s="215"/>
      <c r="X8" s="215"/>
      <c r="Y8" s="215"/>
      <c r="Z8" s="215"/>
    </row>
    <row r="9" spans="2:26" x14ac:dyDescent="0.35">
      <c r="B9" s="212"/>
      <c r="C9" s="212"/>
      <c r="D9" s="212"/>
      <c r="E9" s="212"/>
      <c r="F9" s="216"/>
      <c r="G9" s="212"/>
      <c r="H9" s="212"/>
      <c r="I9" s="212"/>
      <c r="J9" s="212"/>
      <c r="K9" s="212"/>
      <c r="L9" s="212"/>
      <c r="M9" s="212"/>
      <c r="N9" s="212"/>
      <c r="O9" s="212"/>
      <c r="P9" s="212"/>
      <c r="Q9" s="212"/>
      <c r="R9" s="212"/>
      <c r="S9" s="212"/>
      <c r="T9" s="212"/>
      <c r="U9" s="212"/>
      <c r="V9" s="212"/>
      <c r="W9" s="212"/>
      <c r="X9" s="212"/>
      <c r="Y9" s="212"/>
      <c r="Z9" s="212"/>
    </row>
    <row r="10" spans="2:26" x14ac:dyDescent="0.35">
      <c r="B10" s="212" t="s">
        <v>234</v>
      </c>
      <c r="C10" s="212"/>
      <c r="D10" s="212"/>
      <c r="E10" s="217"/>
      <c r="F10" s="218">
        <v>75.328485427299398</v>
      </c>
      <c r="G10" s="218">
        <v>169.01672804000003</v>
      </c>
      <c r="H10" s="218">
        <v>145.63402343999996</v>
      </c>
      <c r="I10" s="218">
        <v>135.17603159999999</v>
      </c>
      <c r="J10" s="218">
        <v>93.181999759999954</v>
      </c>
      <c r="K10" s="218">
        <v>53.743013600000054</v>
      </c>
      <c r="L10" s="218">
        <v>389.71428108931457</v>
      </c>
      <c r="M10" s="218">
        <v>803.47934940266339</v>
      </c>
      <c r="N10" s="218">
        <v>509.08053470387097</v>
      </c>
      <c r="O10" s="218">
        <v>92.41570771436723</v>
      </c>
      <c r="P10" s="218">
        <v>361.29568886000885</v>
      </c>
      <c r="Q10" s="218">
        <v>507.26203123858801</v>
      </c>
      <c r="R10" s="218">
        <v>99.524140897675437</v>
      </c>
      <c r="S10" s="218">
        <v>145.33572333000225</v>
      </c>
      <c r="T10" s="218">
        <v>103.28919185073369</v>
      </c>
      <c r="U10" s="218">
        <v>487.40046027547885</v>
      </c>
      <c r="V10" s="218">
        <v>109.55005978489406</v>
      </c>
      <c r="W10" s="218">
        <v>384.71949925884064</v>
      </c>
      <c r="X10" s="218">
        <v>114.36910923300221</v>
      </c>
      <c r="Y10" s="218">
        <v>528.12201908193401</v>
      </c>
      <c r="Z10" s="218">
        <v>121.51559873255073</v>
      </c>
    </row>
    <row r="11" spans="2:26" x14ac:dyDescent="0.35">
      <c r="B11" s="212" t="s">
        <v>229</v>
      </c>
      <c r="C11" s="212"/>
      <c r="D11" s="212"/>
      <c r="E11" s="217"/>
      <c r="F11" s="218">
        <v>114.18205786254734</v>
      </c>
      <c r="G11" s="218">
        <v>133.19749400000003</v>
      </c>
      <c r="H11" s="218">
        <v>149.62292600000001</v>
      </c>
      <c r="I11" s="218">
        <v>111.287363</v>
      </c>
      <c r="J11" s="218">
        <v>117.80814999999998</v>
      </c>
      <c r="K11" s="218">
        <v>99.575816041351118</v>
      </c>
      <c r="L11" s="218">
        <v>91.114199359900653</v>
      </c>
      <c r="M11" s="218">
        <v>191.87424931446844</v>
      </c>
      <c r="N11" s="218">
        <v>93.107750868636941</v>
      </c>
      <c r="O11" s="218">
        <v>94.232297858993405</v>
      </c>
      <c r="P11" s="218">
        <v>95.334023090825411</v>
      </c>
      <c r="Q11" s="218">
        <v>38.2257126967015</v>
      </c>
      <c r="R11" s="218">
        <v>39.372484077602557</v>
      </c>
      <c r="S11" s="218">
        <v>927.10108208667043</v>
      </c>
      <c r="T11" s="218">
        <v>928.31769184466839</v>
      </c>
      <c r="U11" s="218">
        <v>43.023376408666415</v>
      </c>
      <c r="V11" s="218">
        <v>44.31407770092644</v>
      </c>
      <c r="W11" s="218">
        <v>45.643500031954218</v>
      </c>
      <c r="X11" s="218">
        <v>47.012805032912851</v>
      </c>
      <c r="Y11" s="218">
        <v>48.423189183900192</v>
      </c>
      <c r="Z11" s="218">
        <v>49.875884859417233</v>
      </c>
    </row>
    <row r="12" spans="2:26" x14ac:dyDescent="0.35">
      <c r="B12" s="212" t="s">
        <v>230</v>
      </c>
      <c r="C12" s="212"/>
      <c r="D12" s="212"/>
      <c r="E12" s="217"/>
      <c r="F12" s="218">
        <v>285.76607065930375</v>
      </c>
      <c r="G12" s="218">
        <v>309.26371</v>
      </c>
      <c r="H12" s="218">
        <v>349.17472700000002</v>
      </c>
      <c r="I12" s="218">
        <v>453.352756</v>
      </c>
      <c r="J12" s="218">
        <v>418.07114749130869</v>
      </c>
      <c r="K12" s="218">
        <v>403.137156</v>
      </c>
      <c r="L12" s="218">
        <v>512.83433045607774</v>
      </c>
      <c r="M12" s="218">
        <v>505.81084377329091</v>
      </c>
      <c r="N12" s="218">
        <v>454.95502813470557</v>
      </c>
      <c r="O12" s="218">
        <v>526.7888294406863</v>
      </c>
      <c r="P12" s="218">
        <v>425.35661717084486</v>
      </c>
      <c r="Q12" s="218">
        <v>727.95702484443893</v>
      </c>
      <c r="R12" s="218">
        <v>732.62110836752129</v>
      </c>
      <c r="S12" s="218">
        <v>765.62865132578588</v>
      </c>
      <c r="T12" s="218">
        <v>723.8358187519492</v>
      </c>
      <c r="U12" s="218">
        <v>717.32480963387923</v>
      </c>
      <c r="V12" s="218">
        <v>723.15751230267244</v>
      </c>
      <c r="W12" s="218">
        <v>731.28084344770753</v>
      </c>
      <c r="X12" s="218">
        <v>754.43939648957576</v>
      </c>
      <c r="Y12" s="218">
        <v>765.77496762524436</v>
      </c>
      <c r="Z12" s="218">
        <v>785.50756242185139</v>
      </c>
    </row>
    <row r="13" spans="2:26" x14ac:dyDescent="0.35">
      <c r="B13" s="212" t="s">
        <v>235</v>
      </c>
      <c r="C13" s="212"/>
      <c r="D13" s="212"/>
      <c r="E13" s="217"/>
      <c r="F13" s="218">
        <v>356.49792738538412</v>
      </c>
      <c r="G13" s="218">
        <v>228.207348</v>
      </c>
      <c r="H13" s="218">
        <v>245.15606399999996</v>
      </c>
      <c r="I13" s="218">
        <v>282.40145200000001</v>
      </c>
      <c r="J13" s="218">
        <v>281.34751197438334</v>
      </c>
      <c r="K13" s="218">
        <v>274.88424288536669</v>
      </c>
      <c r="L13" s="218">
        <v>272.97216601616162</v>
      </c>
      <c r="M13" s="218">
        <v>281.04578435271549</v>
      </c>
      <c r="N13" s="218">
        <v>289.88332444488174</v>
      </c>
      <c r="O13" s="218">
        <v>299.26295338987705</v>
      </c>
      <c r="P13" s="218">
        <v>311.29724967822176</v>
      </c>
      <c r="Q13" s="218">
        <v>302.05999353920618</v>
      </c>
      <c r="R13" s="218">
        <v>311.27368113070088</v>
      </c>
      <c r="S13" s="218">
        <v>273.40287157642877</v>
      </c>
      <c r="T13" s="218">
        <v>274.64267753050194</v>
      </c>
      <c r="U13" s="218">
        <v>283.40544699045097</v>
      </c>
      <c r="V13" s="218">
        <v>292.58361396115703</v>
      </c>
      <c r="W13" s="218">
        <v>302.17074693231314</v>
      </c>
      <c r="X13" s="218">
        <v>313.42282013850416</v>
      </c>
      <c r="Y13" s="218">
        <v>325.10990977888196</v>
      </c>
      <c r="Z13" s="218">
        <v>337.24926327918877</v>
      </c>
    </row>
    <row r="14" spans="2:26" x14ac:dyDescent="0.35">
      <c r="B14" s="212" t="s">
        <v>236</v>
      </c>
      <c r="C14" s="212"/>
      <c r="D14" s="212"/>
      <c r="E14" s="217"/>
      <c r="F14" s="218">
        <v>25.651137357572978</v>
      </c>
      <c r="G14" s="218">
        <v>7.0573605832412074</v>
      </c>
      <c r="H14" s="218">
        <v>0</v>
      </c>
      <c r="I14" s="218">
        <v>0</v>
      </c>
      <c r="J14" s="218">
        <v>0</v>
      </c>
      <c r="K14" s="218">
        <v>0</v>
      </c>
      <c r="L14" s="218">
        <v>0</v>
      </c>
      <c r="M14" s="218">
        <v>0</v>
      </c>
      <c r="N14" s="218">
        <v>0</v>
      </c>
      <c r="O14" s="218">
        <v>0</v>
      </c>
      <c r="P14" s="218">
        <v>0</v>
      </c>
      <c r="Q14" s="218">
        <v>0</v>
      </c>
      <c r="R14" s="218">
        <v>0</v>
      </c>
      <c r="S14" s="218">
        <v>0</v>
      </c>
      <c r="T14" s="218">
        <v>0</v>
      </c>
      <c r="U14" s="218">
        <v>0</v>
      </c>
      <c r="V14" s="218">
        <v>0</v>
      </c>
      <c r="W14" s="218">
        <v>0</v>
      </c>
      <c r="X14" s="218">
        <v>0</v>
      </c>
      <c r="Y14" s="218">
        <v>0</v>
      </c>
      <c r="Z14" s="218">
        <v>0</v>
      </c>
    </row>
    <row r="15" spans="2:26" x14ac:dyDescent="0.35">
      <c r="B15" s="212" t="s">
        <v>237</v>
      </c>
      <c r="C15" s="212"/>
      <c r="D15" s="212"/>
      <c r="E15" s="217"/>
      <c r="F15" s="218">
        <v>120.41613191080407</v>
      </c>
      <c r="G15" s="218">
        <v>114.25607900000003</v>
      </c>
      <c r="H15" s="218">
        <v>84.852831999999978</v>
      </c>
      <c r="I15" s="218">
        <v>152.905877</v>
      </c>
      <c r="J15" s="218">
        <v>119.45991397746414</v>
      </c>
      <c r="K15" s="218">
        <v>87.28143</v>
      </c>
      <c r="L15" s="218">
        <v>157.321304897</v>
      </c>
      <c r="M15" s="218">
        <v>139.76049459403799</v>
      </c>
      <c r="N15" s="218">
        <v>131.64526949894713</v>
      </c>
      <c r="O15" s="218">
        <v>135.31186853110756</v>
      </c>
      <c r="P15" s="218">
        <v>134.68212858704081</v>
      </c>
      <c r="Q15" s="218">
        <v>144.90219715782609</v>
      </c>
      <c r="R15" s="218">
        <v>154.50216548644443</v>
      </c>
      <c r="S15" s="218">
        <v>151.28107804456701</v>
      </c>
      <c r="T15" s="218">
        <v>163.87840986788899</v>
      </c>
      <c r="U15" s="218">
        <v>151.06573548712566</v>
      </c>
      <c r="V15" s="218">
        <v>169.04944082809197</v>
      </c>
      <c r="W15" s="218">
        <v>163.25649472165298</v>
      </c>
      <c r="X15" s="218">
        <v>141.05076004206524</v>
      </c>
      <c r="Y15" s="218">
        <v>156.15332724058271</v>
      </c>
      <c r="Z15" s="218">
        <v>145.89872694831851</v>
      </c>
    </row>
    <row r="16" spans="2:26" x14ac:dyDescent="0.35">
      <c r="B16" s="219" t="s">
        <v>238</v>
      </c>
      <c r="C16" s="219"/>
      <c r="D16" s="219"/>
      <c r="E16" s="220"/>
      <c r="F16" s="221">
        <v>977.84181060291178</v>
      </c>
      <c r="G16" s="221">
        <v>960.9987196232413</v>
      </c>
      <c r="H16" s="221">
        <v>974.4405724400001</v>
      </c>
      <c r="I16" s="221">
        <v>1135.1234795999999</v>
      </c>
      <c r="J16" s="221">
        <v>1029.8687232031562</v>
      </c>
      <c r="K16" s="221">
        <v>918.62165852671785</v>
      </c>
      <c r="L16" s="221">
        <v>1423.9562818184545</v>
      </c>
      <c r="M16" s="221">
        <v>1921.9707214371761</v>
      </c>
      <c r="N16" s="221">
        <v>1478.6719076510424</v>
      </c>
      <c r="O16" s="221">
        <v>1148.0116569350316</v>
      </c>
      <c r="P16" s="221">
        <v>1327.9657073869416</v>
      </c>
      <c r="Q16" s="221">
        <v>1720.4069594767604</v>
      </c>
      <c r="R16" s="221">
        <v>1337.2935799599445</v>
      </c>
      <c r="S16" s="221">
        <v>2262.7494063634545</v>
      </c>
      <c r="T16" s="221">
        <v>2193.9637898457422</v>
      </c>
      <c r="U16" s="221">
        <v>1682.219828795601</v>
      </c>
      <c r="V16" s="221">
        <v>1338.654704577742</v>
      </c>
      <c r="W16" s="221">
        <v>1627.0710843924685</v>
      </c>
      <c r="X16" s="221">
        <v>1370.2948909360603</v>
      </c>
      <c r="Y16" s="221">
        <v>1823.5834129105433</v>
      </c>
      <c r="Z16" s="221">
        <v>1440.0470362413264</v>
      </c>
    </row>
    <row r="17" spans="2:26" x14ac:dyDescent="0.35">
      <c r="B17" s="212"/>
      <c r="C17" s="212"/>
      <c r="D17" s="212"/>
      <c r="E17" s="217"/>
      <c r="F17" s="222"/>
      <c r="G17" s="222"/>
      <c r="H17" s="222"/>
      <c r="I17" s="222"/>
      <c r="J17" s="222"/>
      <c r="K17" s="222"/>
      <c r="L17" s="222"/>
      <c r="M17" s="222"/>
      <c r="N17" s="222"/>
      <c r="O17" s="222"/>
      <c r="P17" s="222"/>
      <c r="Q17" s="222"/>
      <c r="R17" s="222"/>
      <c r="S17" s="222"/>
      <c r="T17" s="222"/>
      <c r="U17" s="222"/>
      <c r="V17" s="222"/>
      <c r="W17" s="222"/>
      <c r="X17" s="222"/>
      <c r="Y17" s="222"/>
      <c r="Z17" s="222"/>
    </row>
    <row r="18" spans="2:26" x14ac:dyDescent="0.35">
      <c r="B18" s="212" t="s">
        <v>239</v>
      </c>
      <c r="C18" s="212"/>
      <c r="D18" s="212"/>
      <c r="E18" s="217"/>
      <c r="F18" s="218">
        <v>641.81412422998596</v>
      </c>
      <c r="G18" s="218">
        <v>704.81087534729841</v>
      </c>
      <c r="H18" s="218">
        <v>626.3714388551216</v>
      </c>
      <c r="I18" s="218">
        <v>672.30697716205475</v>
      </c>
      <c r="J18" s="218">
        <v>714.02637233723817</v>
      </c>
      <c r="K18" s="218">
        <v>754.87608955210953</v>
      </c>
      <c r="L18" s="218">
        <v>751.39609081032017</v>
      </c>
      <c r="M18" s="218">
        <v>724.24062414226819</v>
      </c>
      <c r="N18" s="218">
        <v>781.33241812685299</v>
      </c>
      <c r="O18" s="218">
        <v>824.45261831823677</v>
      </c>
      <c r="P18" s="218">
        <v>861.58080302748635</v>
      </c>
      <c r="Q18" s="218">
        <v>906.18540924846081</v>
      </c>
      <c r="R18" s="218">
        <v>959.94557422095966</v>
      </c>
      <c r="S18" s="218">
        <v>1007.9983086326944</v>
      </c>
      <c r="T18" s="218">
        <v>1038.8282535297371</v>
      </c>
      <c r="U18" s="218">
        <v>1087.4346272391031</v>
      </c>
      <c r="V18" s="218">
        <v>1140.3825949469335</v>
      </c>
      <c r="W18" s="218">
        <v>1145.9282917617193</v>
      </c>
      <c r="X18" s="218">
        <v>1195.6334085235262</v>
      </c>
      <c r="Y18" s="218">
        <v>1188.5448216602997</v>
      </c>
      <c r="Z18" s="218">
        <v>1161.8891890637813</v>
      </c>
    </row>
    <row r="19" spans="2:26" x14ac:dyDescent="0.35">
      <c r="B19" s="212" t="s">
        <v>240</v>
      </c>
      <c r="C19" s="212"/>
      <c r="D19" s="212"/>
      <c r="E19" s="217"/>
      <c r="F19" s="223">
        <v>0.65635782523377695</v>
      </c>
      <c r="G19" s="223">
        <v>0.73341499937025811</v>
      </c>
      <c r="H19" s="223">
        <v>0.64280106614063381</v>
      </c>
      <c r="I19" s="223">
        <v>0.59227651374013113</v>
      </c>
      <c r="J19" s="223">
        <v>0.69331785328564288</v>
      </c>
      <c r="K19" s="223">
        <v>0.82174863018446254</v>
      </c>
      <c r="L19" s="223">
        <v>0.52768199445755071</v>
      </c>
      <c r="M19" s="223">
        <v>0.37682188186545779</v>
      </c>
      <c r="N19" s="223">
        <v>0.52840147573239937</v>
      </c>
      <c r="O19" s="223">
        <v>0.71815700941518779</v>
      </c>
      <c r="P19" s="223">
        <v>0.64879747890691553</v>
      </c>
      <c r="Q19" s="223">
        <v>0.52672735613907617</v>
      </c>
      <c r="R19" s="223">
        <v>0.71782710139811823</v>
      </c>
      <c r="S19" s="223">
        <v>0.44547500743915097</v>
      </c>
      <c r="T19" s="223">
        <v>0.47349380073532449</v>
      </c>
      <c r="U19" s="223">
        <v>0.64642837316788782</v>
      </c>
      <c r="V19" s="223">
        <v>0.85188704080836863</v>
      </c>
      <c r="W19" s="223">
        <v>0.70428901524581944</v>
      </c>
      <c r="X19" s="223">
        <v>0.87253730305217636</v>
      </c>
      <c r="Y19" s="223">
        <v>0.65176334312194373</v>
      </c>
      <c r="Z19" s="223">
        <v>0.80684113770091415</v>
      </c>
    </row>
    <row r="20" spans="2:26" x14ac:dyDescent="0.35">
      <c r="B20" s="212"/>
      <c r="C20" s="212"/>
      <c r="D20" s="212"/>
      <c r="E20" s="212"/>
      <c r="F20" s="222"/>
      <c r="G20" s="222"/>
      <c r="H20" s="222"/>
      <c r="I20" s="222"/>
      <c r="J20" s="222"/>
      <c r="K20" s="222"/>
      <c r="L20" s="222"/>
      <c r="M20" s="222"/>
      <c r="N20" s="222"/>
      <c r="O20" s="222"/>
      <c r="P20" s="222"/>
      <c r="Q20" s="222"/>
      <c r="R20" s="222"/>
      <c r="S20" s="222"/>
      <c r="T20" s="222"/>
      <c r="U20" s="222"/>
      <c r="V20" s="222"/>
      <c r="W20" s="222"/>
      <c r="X20" s="222"/>
      <c r="Y20" s="222"/>
      <c r="Z20" s="222"/>
    </row>
    <row r="22" spans="2:26" x14ac:dyDescent="0.35">
      <c r="B22" s="2" t="s">
        <v>241</v>
      </c>
    </row>
    <row r="23" spans="2:26" ht="15" thickBot="1" x14ac:dyDescent="0.4"/>
    <row r="24" spans="2:26" x14ac:dyDescent="0.35">
      <c r="B24" s="76" t="s">
        <v>10</v>
      </c>
      <c r="C24" s="67">
        <v>2020</v>
      </c>
      <c r="D24" s="67">
        <v>2021</v>
      </c>
      <c r="E24" s="67">
        <v>2022</v>
      </c>
      <c r="F24" s="67">
        <v>2023</v>
      </c>
      <c r="G24" s="67">
        <v>2024</v>
      </c>
      <c r="H24" s="67">
        <v>2025</v>
      </c>
      <c r="I24" s="67">
        <v>2026</v>
      </c>
      <c r="J24" s="67">
        <v>2027</v>
      </c>
      <c r="K24" s="67">
        <v>2028</v>
      </c>
      <c r="L24" s="67">
        <v>2029</v>
      </c>
      <c r="M24" s="67">
        <v>2030</v>
      </c>
      <c r="N24" s="67">
        <v>2031</v>
      </c>
      <c r="O24" s="67">
        <v>2032</v>
      </c>
      <c r="P24" s="67">
        <v>2033</v>
      </c>
      <c r="Q24" s="67">
        <v>2034</v>
      </c>
      <c r="R24" s="67">
        <v>2035</v>
      </c>
      <c r="S24" s="67">
        <v>2036</v>
      </c>
      <c r="T24" s="67">
        <v>2037</v>
      </c>
      <c r="U24" s="67">
        <v>2038</v>
      </c>
      <c r="V24" s="67">
        <v>2039</v>
      </c>
      <c r="W24" s="67">
        <v>2040</v>
      </c>
      <c r="X24" s="68" t="s">
        <v>142</v>
      </c>
    </row>
    <row r="25" spans="2:26" x14ac:dyDescent="0.35">
      <c r="B25" s="3" t="s">
        <v>146</v>
      </c>
      <c r="C25" s="69">
        <v>0</v>
      </c>
      <c r="D25" s="69">
        <v>0</v>
      </c>
      <c r="E25" s="69">
        <v>0</v>
      </c>
      <c r="F25" s="69">
        <v>0</v>
      </c>
      <c r="G25" s="69">
        <v>0</v>
      </c>
      <c r="H25" s="69">
        <v>0</v>
      </c>
      <c r="I25" s="69">
        <v>0</v>
      </c>
      <c r="J25" s="69">
        <v>0</v>
      </c>
      <c r="K25" s="69">
        <v>0</v>
      </c>
      <c r="L25" s="69">
        <v>0</v>
      </c>
      <c r="M25" s="69">
        <v>24090909.09090909</v>
      </c>
      <c r="N25" s="69">
        <v>24090909.09090909</v>
      </c>
      <c r="O25" s="69">
        <v>24090909.09090909</v>
      </c>
      <c r="P25" s="69">
        <v>24090909.09090909</v>
      </c>
      <c r="Q25" s="69">
        <v>24090909.09090909</v>
      </c>
      <c r="R25" s="69">
        <v>24090909.09090909</v>
      </c>
      <c r="S25" s="69">
        <v>24090909.09090909</v>
      </c>
      <c r="T25" s="69">
        <v>24090909.09090909</v>
      </c>
      <c r="U25" s="69">
        <v>24090909.09090909</v>
      </c>
      <c r="V25" s="69">
        <v>24090909.09090909</v>
      </c>
      <c r="W25" s="69">
        <v>24090909.09090909</v>
      </c>
      <c r="X25" s="70">
        <v>265000000</v>
      </c>
    </row>
    <row r="26" spans="2:26" x14ac:dyDescent="0.35">
      <c r="B26" s="3" t="s">
        <v>215</v>
      </c>
      <c r="C26" s="69">
        <v>666648.14172703517</v>
      </c>
      <c r="D26" s="69">
        <v>1408645.0980702338</v>
      </c>
      <c r="E26" s="69">
        <v>2098412.2262051646</v>
      </c>
      <c r="F26" s="69">
        <v>2751420.48774273</v>
      </c>
      <c r="G26" s="69">
        <v>3307851.9557194524</v>
      </c>
      <c r="H26" s="69">
        <v>3767022.0905353841</v>
      </c>
      <c r="I26" s="69">
        <v>12179470.974710267</v>
      </c>
      <c r="J26" s="69">
        <v>13219069.988241984</v>
      </c>
      <c r="K26" s="69">
        <v>14217162.082402222</v>
      </c>
      <c r="L26" s="69">
        <v>15370593.654922569</v>
      </c>
      <c r="M26" s="69">
        <v>16763788.989650112</v>
      </c>
      <c r="N26" s="69">
        <v>18822152.19333772</v>
      </c>
      <c r="O26" s="69">
        <v>20332826.247302119</v>
      </c>
      <c r="P26" s="69">
        <v>21823231.3757325</v>
      </c>
      <c r="Q26" s="69">
        <v>22744735.959515784</v>
      </c>
      <c r="R26" s="69">
        <v>23537206.592938073</v>
      </c>
      <c r="S26" s="69">
        <v>23813237.74526583</v>
      </c>
      <c r="T26" s="69">
        <v>24281578.17108557</v>
      </c>
      <c r="U26" s="69">
        <v>24493008.747917075</v>
      </c>
      <c r="V26" s="69">
        <v>25355395.4897925</v>
      </c>
      <c r="W26" s="69">
        <v>25046541.787185691</v>
      </c>
      <c r="X26" s="70">
        <v>316000000</v>
      </c>
    </row>
    <row r="27" spans="2:26" x14ac:dyDescent="0.35">
      <c r="B27" s="3" t="s">
        <v>216</v>
      </c>
      <c r="C27" s="69">
        <v>0</v>
      </c>
      <c r="D27" s="69">
        <v>0</v>
      </c>
      <c r="E27" s="69">
        <v>0</v>
      </c>
      <c r="F27" s="69">
        <v>0</v>
      </c>
      <c r="G27" s="69">
        <v>0</v>
      </c>
      <c r="H27" s="69">
        <v>0</v>
      </c>
      <c r="I27" s="69">
        <v>0</v>
      </c>
      <c r="J27" s="69">
        <v>0</v>
      </c>
      <c r="K27" s="69">
        <v>0</v>
      </c>
      <c r="L27" s="69">
        <v>0</v>
      </c>
      <c r="M27" s="69">
        <v>9000000</v>
      </c>
      <c r="N27" s="69">
        <v>9000000</v>
      </c>
      <c r="O27" s="69">
        <v>9000000</v>
      </c>
      <c r="P27" s="69">
        <v>9000000</v>
      </c>
      <c r="Q27" s="69">
        <v>9000000</v>
      </c>
      <c r="R27" s="69">
        <v>9000000</v>
      </c>
      <c r="S27" s="69">
        <v>9000000</v>
      </c>
      <c r="T27" s="69">
        <v>9000000</v>
      </c>
      <c r="U27" s="69">
        <v>9000000</v>
      </c>
      <c r="V27" s="69">
        <v>9000000</v>
      </c>
      <c r="W27" s="69">
        <v>9000000</v>
      </c>
      <c r="X27" s="70">
        <v>99000000</v>
      </c>
    </row>
    <row r="28" spans="2:26" ht="15" thickBot="1" x14ac:dyDescent="0.4">
      <c r="B28" s="75" t="s">
        <v>156</v>
      </c>
      <c r="C28" s="71">
        <v>571412.69290888729</v>
      </c>
      <c r="D28" s="71">
        <v>1207410.0840602005</v>
      </c>
      <c r="E28" s="71">
        <v>1798639.0510329981</v>
      </c>
      <c r="F28" s="71">
        <v>2358360.4180651968</v>
      </c>
      <c r="G28" s="71">
        <v>2835301.6763309594</v>
      </c>
      <c r="H28" s="71">
        <v>3228876.0776017578</v>
      </c>
      <c r="I28" s="71">
        <v>3871619.9124906808</v>
      </c>
      <c r="J28" s="71">
        <v>4202088.4730835445</v>
      </c>
      <c r="K28" s="71">
        <v>4519362.7811609711</v>
      </c>
      <c r="L28" s="71">
        <v>4886016.5260681016</v>
      </c>
      <c r="M28" s="71">
        <v>5328886.5662463931</v>
      </c>
      <c r="N28" s="71">
        <v>5983200.6972199371</v>
      </c>
      <c r="O28" s="71">
        <v>6463414.9660298126</v>
      </c>
      <c r="P28" s="71">
        <v>6937186.1326831793</v>
      </c>
      <c r="Q28" s="71">
        <v>7230114.7420977326</v>
      </c>
      <c r="R28" s="71">
        <v>7482025.9368279967</v>
      </c>
      <c r="S28" s="71">
        <v>7569770.9388924493</v>
      </c>
      <c r="T28" s="71">
        <v>7718647.3656430952</v>
      </c>
      <c r="U28" s="71">
        <v>7785857.0854305942</v>
      </c>
      <c r="V28" s="71">
        <v>8059993.2682784097</v>
      </c>
      <c r="W28" s="71">
        <v>7961814.6078471076</v>
      </c>
      <c r="X28" s="72">
        <v>108000000.00000001</v>
      </c>
    </row>
    <row r="29" spans="2:26" ht="15" thickTop="1" x14ac:dyDescent="0.35">
      <c r="B29" s="78" t="s">
        <v>142</v>
      </c>
      <c r="C29" s="79">
        <v>1238060.8346359225</v>
      </c>
      <c r="D29" s="79">
        <v>2616055.1821304346</v>
      </c>
      <c r="E29" s="79">
        <v>3897051.2772381627</v>
      </c>
      <c r="F29" s="79">
        <v>5109780.9058079273</v>
      </c>
      <c r="G29" s="79">
        <v>6143153.6320504118</v>
      </c>
      <c r="H29" s="79">
        <v>6995898.1681371424</v>
      </c>
      <c r="I29" s="79">
        <v>16051090.887200948</v>
      </c>
      <c r="J29" s="79">
        <v>17421158.461325526</v>
      </c>
      <c r="K29" s="79">
        <v>18736524.863563195</v>
      </c>
      <c r="L29" s="79">
        <v>20256610.18099067</v>
      </c>
      <c r="M29" s="79">
        <v>55183584.646805592</v>
      </c>
      <c r="N29" s="79">
        <v>57896261.981466748</v>
      </c>
      <c r="O29" s="79">
        <v>59887150.304241024</v>
      </c>
      <c r="P29" s="79">
        <v>61851326.59932477</v>
      </c>
      <c r="Q29" s="79">
        <v>63065759.792522609</v>
      </c>
      <c r="R29" s="79">
        <v>64110141.620675154</v>
      </c>
      <c r="S29" s="79">
        <v>64473917.775067367</v>
      </c>
      <c r="T29" s="79">
        <v>65091134.627637759</v>
      </c>
      <c r="U29" s="79">
        <v>65369774.924256757</v>
      </c>
      <c r="V29" s="79">
        <v>66506297.848980002</v>
      </c>
      <c r="W29" s="79">
        <v>66099265.485941887</v>
      </c>
      <c r="X29" s="80">
        <v>788000000</v>
      </c>
    </row>
    <row r="30" spans="2:26" ht="15" thickBot="1" x14ac:dyDescent="0.4">
      <c r="B30" s="4" t="s">
        <v>217</v>
      </c>
      <c r="C30" s="81">
        <v>1238060.8346359225</v>
      </c>
      <c r="D30" s="81">
        <v>3854116.0167663572</v>
      </c>
      <c r="E30" s="81">
        <v>7751167.2940045204</v>
      </c>
      <c r="F30" s="81">
        <v>12860948.199812448</v>
      </c>
      <c r="G30" s="81">
        <v>19004101.831862859</v>
      </c>
      <c r="H30" s="81">
        <v>26000000</v>
      </c>
      <c r="I30" s="81">
        <v>42051090.887200952</v>
      </c>
      <c r="J30" s="81">
        <v>59472249.348526478</v>
      </c>
      <c r="K30" s="81">
        <v>78208774.212089673</v>
      </c>
      <c r="L30" s="81">
        <v>98465384.393080339</v>
      </c>
      <c r="M30" s="81">
        <v>153648969.03988594</v>
      </c>
      <c r="N30" s="81">
        <v>211545231.02135268</v>
      </c>
      <c r="O30" s="81">
        <v>271432381.32559371</v>
      </c>
      <c r="P30" s="81">
        <v>333283707.92491847</v>
      </c>
      <c r="Q30" s="81">
        <v>396349467.71744108</v>
      </c>
      <c r="R30" s="81">
        <v>460459609.33811623</v>
      </c>
      <c r="S30" s="81">
        <v>524933527.11318362</v>
      </c>
      <c r="T30" s="81">
        <v>590024661.74082136</v>
      </c>
      <c r="U30" s="81">
        <v>655394436.66507816</v>
      </c>
      <c r="V30" s="81">
        <v>721900734.51405811</v>
      </c>
      <c r="W30" s="81">
        <v>788000000</v>
      </c>
      <c r="X30" s="82"/>
    </row>
    <row r="31" spans="2:26" x14ac:dyDescent="0.35">
      <c r="B31" s="76" t="s">
        <v>11</v>
      </c>
      <c r="C31" s="67">
        <v>2020</v>
      </c>
      <c r="D31" s="67">
        <v>2021</v>
      </c>
      <c r="E31" s="67">
        <v>2022</v>
      </c>
      <c r="F31" s="67">
        <v>2023</v>
      </c>
      <c r="G31" s="67">
        <v>2024</v>
      </c>
      <c r="H31" s="67">
        <v>2025</v>
      </c>
      <c r="I31" s="67">
        <v>2026</v>
      </c>
      <c r="J31" s="67">
        <v>2027</v>
      </c>
      <c r="K31" s="67">
        <v>2028</v>
      </c>
      <c r="L31" s="67">
        <v>2029</v>
      </c>
      <c r="M31" s="67">
        <v>2030</v>
      </c>
      <c r="N31" s="67">
        <v>2031</v>
      </c>
      <c r="O31" s="67">
        <v>2032</v>
      </c>
      <c r="P31" s="67">
        <v>2033</v>
      </c>
      <c r="Q31" s="67">
        <v>2034</v>
      </c>
      <c r="R31" s="67">
        <v>2035</v>
      </c>
      <c r="S31" s="67">
        <v>2036</v>
      </c>
      <c r="T31" s="67">
        <v>2037</v>
      </c>
      <c r="U31" s="67">
        <v>2038</v>
      </c>
      <c r="V31" s="67">
        <v>2039</v>
      </c>
      <c r="W31" s="67">
        <v>2040</v>
      </c>
      <c r="X31" s="68" t="s">
        <v>142</v>
      </c>
    </row>
    <row r="32" spans="2:26" x14ac:dyDescent="0.35">
      <c r="B32" s="3" t="s">
        <v>146</v>
      </c>
      <c r="C32" s="69">
        <v>0</v>
      </c>
      <c r="D32" s="69">
        <v>0</v>
      </c>
      <c r="E32" s="69">
        <v>0</v>
      </c>
      <c r="F32" s="69">
        <v>0</v>
      </c>
      <c r="G32" s="69">
        <v>0</v>
      </c>
      <c r="H32" s="69">
        <v>0</v>
      </c>
      <c r="I32" s="69">
        <v>0</v>
      </c>
      <c r="J32" s="69">
        <v>0</v>
      </c>
      <c r="K32" s="69">
        <v>0</v>
      </c>
      <c r="L32" s="69">
        <v>0</v>
      </c>
      <c r="M32" s="69">
        <v>28272727.272727273</v>
      </c>
      <c r="N32" s="69">
        <v>28272727.272727273</v>
      </c>
      <c r="O32" s="69">
        <v>28272727.272727273</v>
      </c>
      <c r="P32" s="69">
        <v>28272727.272727273</v>
      </c>
      <c r="Q32" s="69">
        <v>28272727.272727273</v>
      </c>
      <c r="R32" s="69">
        <v>28272727.272727273</v>
      </c>
      <c r="S32" s="69">
        <v>28272727.272727273</v>
      </c>
      <c r="T32" s="69">
        <v>28272727.272727273</v>
      </c>
      <c r="U32" s="69">
        <v>28272727.272727273</v>
      </c>
      <c r="V32" s="69">
        <v>28272727.272727273</v>
      </c>
      <c r="W32" s="69">
        <v>28272727.272727273</v>
      </c>
      <c r="X32" s="70">
        <v>311000000</v>
      </c>
    </row>
    <row r="33" spans="2:24" x14ac:dyDescent="0.35">
      <c r="B33" s="3" t="s">
        <v>215</v>
      </c>
      <c r="C33" s="69">
        <v>1796873.8868712846</v>
      </c>
      <c r="D33" s="69">
        <v>3656582.561180227</v>
      </c>
      <c r="E33" s="69">
        <v>5224060.2643691516</v>
      </c>
      <c r="F33" s="69">
        <v>6717776.4881976014</v>
      </c>
      <c r="G33" s="69">
        <v>8131701.3999810461</v>
      </c>
      <c r="H33" s="69">
        <v>9473005.3994006887</v>
      </c>
      <c r="I33" s="69">
        <v>21607660.422820937</v>
      </c>
      <c r="J33" s="69">
        <v>24202826.414938908</v>
      </c>
      <c r="K33" s="69">
        <v>26788716.291158609</v>
      </c>
      <c r="L33" s="69">
        <v>29458129.086022235</v>
      </c>
      <c r="M33" s="69">
        <v>32155886.891527213</v>
      </c>
      <c r="N33" s="69">
        <v>35589067.131180748</v>
      </c>
      <c r="O33" s="69">
        <v>37654417.052856326</v>
      </c>
      <c r="P33" s="69">
        <v>39860642.179517552</v>
      </c>
      <c r="Q33" s="69">
        <v>41890402.526483782</v>
      </c>
      <c r="R33" s="69">
        <v>45090159.862922981</v>
      </c>
      <c r="S33" s="69">
        <v>48815464.276417375</v>
      </c>
      <c r="T33" s="69">
        <v>53503679.091208152</v>
      </c>
      <c r="U33" s="69">
        <v>56766566.342879333</v>
      </c>
      <c r="V33" s="69">
        <v>59426847.950782277</v>
      </c>
      <c r="W33" s="69">
        <v>58189534.479283519</v>
      </c>
      <c r="X33" s="70">
        <v>646000000</v>
      </c>
    </row>
    <row r="34" spans="2:24" x14ac:dyDescent="0.35">
      <c r="B34" s="3" t="s">
        <v>216</v>
      </c>
      <c r="C34" s="69">
        <v>0</v>
      </c>
      <c r="D34" s="69">
        <v>0</v>
      </c>
      <c r="E34" s="69">
        <v>0</v>
      </c>
      <c r="F34" s="69">
        <v>0</v>
      </c>
      <c r="G34" s="69">
        <v>0</v>
      </c>
      <c r="H34" s="69">
        <v>0</v>
      </c>
      <c r="I34" s="69">
        <v>0</v>
      </c>
      <c r="J34" s="69">
        <v>0</v>
      </c>
      <c r="K34" s="69">
        <v>0</v>
      </c>
      <c r="L34" s="69">
        <v>0</v>
      </c>
      <c r="M34" s="69">
        <v>9000000</v>
      </c>
      <c r="N34" s="69">
        <v>9000000</v>
      </c>
      <c r="O34" s="69">
        <v>9000000</v>
      </c>
      <c r="P34" s="69">
        <v>9000000</v>
      </c>
      <c r="Q34" s="69">
        <v>9000000</v>
      </c>
      <c r="R34" s="69">
        <v>9000000</v>
      </c>
      <c r="S34" s="69">
        <v>9000000</v>
      </c>
      <c r="T34" s="69">
        <v>9000000</v>
      </c>
      <c r="U34" s="69">
        <v>9000000</v>
      </c>
      <c r="V34" s="69">
        <v>9000000</v>
      </c>
      <c r="W34" s="69">
        <v>9000000</v>
      </c>
      <c r="X34" s="70">
        <v>99000000</v>
      </c>
    </row>
    <row r="35" spans="2:24" ht="15" thickBot="1" x14ac:dyDescent="0.4">
      <c r="B35" s="75" t="s">
        <v>223</v>
      </c>
      <c r="C35" s="71">
        <v>7290174.0553063545</v>
      </c>
      <c r="D35" s="71">
        <v>14835277.819645492</v>
      </c>
      <c r="E35" s="71">
        <v>21194758.786869131</v>
      </c>
      <c r="F35" s="71">
        <v>27254978.894973125</v>
      </c>
      <c r="G35" s="71">
        <v>32991474.251351673</v>
      </c>
      <c r="H35" s="71">
        <v>38433336.191854216</v>
      </c>
      <c r="I35" s="71">
        <v>47671237.724979743</v>
      </c>
      <c r="J35" s="71">
        <v>53396743.056199096</v>
      </c>
      <c r="K35" s="71">
        <v>59101783.241377756</v>
      </c>
      <c r="L35" s="71">
        <v>64991093.302713543</v>
      </c>
      <c r="M35" s="71">
        <v>70942938.673942193</v>
      </c>
      <c r="N35" s="71">
        <v>78517287.222310394</v>
      </c>
      <c r="O35" s="71">
        <v>83073902.106792688</v>
      </c>
      <c r="P35" s="71">
        <v>87941318.58918111</v>
      </c>
      <c r="Q35" s="71">
        <v>92419415.066612333</v>
      </c>
      <c r="R35" s="71">
        <v>99478781.497905374</v>
      </c>
      <c r="S35" s="71">
        <v>107697620.04027925</v>
      </c>
      <c r="T35" s="71">
        <v>118040850.10629883</v>
      </c>
      <c r="U35" s="71">
        <v>125239494.97577961</v>
      </c>
      <c r="V35" s="71">
        <v>131108659.63609576</v>
      </c>
      <c r="W35" s="71">
        <v>128378874.75953221</v>
      </c>
      <c r="X35" s="72">
        <v>1490000000</v>
      </c>
    </row>
    <row r="36" spans="2:24" ht="15" thickTop="1" x14ac:dyDescent="0.35">
      <c r="B36" s="78" t="s">
        <v>142</v>
      </c>
      <c r="C36" s="79">
        <v>9087047.9421776384</v>
      </c>
      <c r="D36" s="79">
        <v>18491860.380825721</v>
      </c>
      <c r="E36" s="79">
        <v>26418819.051238284</v>
      </c>
      <c r="F36" s="79">
        <v>33972755.383170724</v>
      </c>
      <c r="G36" s="79">
        <v>41123175.651332721</v>
      </c>
      <c r="H36" s="79">
        <v>47906341.591254905</v>
      </c>
      <c r="I36" s="79">
        <v>69278898.147800684</v>
      </c>
      <c r="J36" s="79">
        <v>77599569.471138</v>
      </c>
      <c r="K36" s="79">
        <v>85890499.532536358</v>
      </c>
      <c r="L36" s="79">
        <v>94449222.388735771</v>
      </c>
      <c r="M36" s="79">
        <v>140371552.83819669</v>
      </c>
      <c r="N36" s="79">
        <v>151379081.62621841</v>
      </c>
      <c r="O36" s="79">
        <v>158001046.4323763</v>
      </c>
      <c r="P36" s="79">
        <v>165074688.04142594</v>
      </c>
      <c r="Q36" s="79">
        <v>171582544.86582339</v>
      </c>
      <c r="R36" s="79">
        <v>181841668.63355562</v>
      </c>
      <c r="S36" s="79">
        <v>193785811.58942389</v>
      </c>
      <c r="T36" s="79">
        <v>208817256.47023427</v>
      </c>
      <c r="U36" s="79">
        <v>219278788.5913862</v>
      </c>
      <c r="V36" s="79">
        <v>227808234.85960531</v>
      </c>
      <c r="W36" s="79">
        <v>223841136.51154301</v>
      </c>
      <c r="X36" s="80">
        <v>2546000000</v>
      </c>
    </row>
    <row r="37" spans="2:24" ht="15" thickBot="1" x14ac:dyDescent="0.4">
      <c r="B37" s="4" t="s">
        <v>217</v>
      </c>
      <c r="C37" s="81">
        <v>9087047.9421776384</v>
      </c>
      <c r="D37" s="81">
        <v>27578908.323003359</v>
      </c>
      <c r="E37" s="81">
        <v>53997727.374241643</v>
      </c>
      <c r="F37" s="81">
        <v>87970482.757412374</v>
      </c>
      <c r="G37" s="81">
        <v>129093658.4087451</v>
      </c>
      <c r="H37" s="81">
        <v>177000000</v>
      </c>
      <c r="I37" s="81">
        <v>246278898.14780068</v>
      </c>
      <c r="J37" s="81">
        <v>323878467.61893868</v>
      </c>
      <c r="K37" s="81">
        <v>409768967.15147507</v>
      </c>
      <c r="L37" s="81">
        <v>504218189.54021084</v>
      </c>
      <c r="M37" s="81">
        <v>644589742.37840748</v>
      </c>
      <c r="N37" s="81">
        <v>795968824.00462592</v>
      </c>
      <c r="O37" s="81">
        <v>953969870.43700218</v>
      </c>
      <c r="P37" s="81">
        <v>1119044558.4784281</v>
      </c>
      <c r="Q37" s="81">
        <v>1290627103.3442516</v>
      </c>
      <c r="R37" s="81">
        <v>1472468771.9778073</v>
      </c>
      <c r="S37" s="81">
        <v>1666254583.5672312</v>
      </c>
      <c r="T37" s="81">
        <v>1875071840.0374656</v>
      </c>
      <c r="U37" s="81">
        <v>2094350628.6288519</v>
      </c>
      <c r="V37" s="81">
        <v>2322158863.4884572</v>
      </c>
      <c r="W37" s="81">
        <v>2546000000</v>
      </c>
      <c r="X37" s="82"/>
    </row>
    <row r="38" spans="2:24" x14ac:dyDescent="0.35">
      <c r="B38" s="77" t="s">
        <v>12</v>
      </c>
      <c r="C38" s="73">
        <v>2020</v>
      </c>
      <c r="D38" s="73">
        <v>2021</v>
      </c>
      <c r="E38" s="73">
        <v>2022</v>
      </c>
      <c r="F38" s="73">
        <v>2023</v>
      </c>
      <c r="G38" s="73">
        <v>2024</v>
      </c>
      <c r="H38" s="73">
        <v>2025</v>
      </c>
      <c r="I38" s="73">
        <v>2026</v>
      </c>
      <c r="J38" s="73">
        <v>2027</v>
      </c>
      <c r="K38" s="73">
        <v>2028</v>
      </c>
      <c r="L38" s="73">
        <v>2029</v>
      </c>
      <c r="M38" s="73">
        <v>2030</v>
      </c>
      <c r="N38" s="73">
        <v>2031</v>
      </c>
      <c r="O38" s="73">
        <v>2032</v>
      </c>
      <c r="P38" s="73">
        <v>2033</v>
      </c>
      <c r="Q38" s="73">
        <v>2034</v>
      </c>
      <c r="R38" s="73">
        <v>2035</v>
      </c>
      <c r="S38" s="73">
        <v>2036</v>
      </c>
      <c r="T38" s="73">
        <v>2037</v>
      </c>
      <c r="U38" s="73">
        <v>2038</v>
      </c>
      <c r="V38" s="73">
        <v>2039</v>
      </c>
      <c r="W38" s="73">
        <v>2040</v>
      </c>
      <c r="X38" s="74" t="s">
        <v>142</v>
      </c>
    </row>
    <row r="39" spans="2:24" x14ac:dyDescent="0.35">
      <c r="B39" s="3" t="s">
        <v>146</v>
      </c>
      <c r="C39" s="69">
        <v>0</v>
      </c>
      <c r="D39" s="69">
        <v>0</v>
      </c>
      <c r="E39" s="69">
        <v>0</v>
      </c>
      <c r="F39" s="69">
        <v>0</v>
      </c>
      <c r="G39" s="69">
        <v>0</v>
      </c>
      <c r="H39" s="69">
        <v>0</v>
      </c>
      <c r="I39" s="69">
        <v>0</v>
      </c>
      <c r="J39" s="69">
        <v>0</v>
      </c>
      <c r="K39" s="69">
        <v>0</v>
      </c>
      <c r="L39" s="69">
        <v>0</v>
      </c>
      <c r="M39" s="69">
        <v>45090909.090909094</v>
      </c>
      <c r="N39" s="69">
        <v>45090909.090909094</v>
      </c>
      <c r="O39" s="69">
        <v>45090909.090909094</v>
      </c>
      <c r="P39" s="69">
        <v>45090909.090909094</v>
      </c>
      <c r="Q39" s="69">
        <v>45090909.090909094</v>
      </c>
      <c r="R39" s="69">
        <v>45090909.090909094</v>
      </c>
      <c r="S39" s="69">
        <v>45090909.090909094</v>
      </c>
      <c r="T39" s="69">
        <v>45090909.090909094</v>
      </c>
      <c r="U39" s="69">
        <v>45090909.090909094</v>
      </c>
      <c r="V39" s="69">
        <v>45090909.090909094</v>
      </c>
      <c r="W39" s="69">
        <v>45090909.090909094</v>
      </c>
      <c r="X39" s="70">
        <v>496000000.00000012</v>
      </c>
    </row>
    <row r="40" spans="2:24" x14ac:dyDescent="0.35">
      <c r="B40" s="3" t="s">
        <v>215</v>
      </c>
      <c r="C40" s="69">
        <v>6970295.5437554838</v>
      </c>
      <c r="D40" s="69">
        <v>14123706.404424386</v>
      </c>
      <c r="E40" s="69">
        <v>19992896.660247684</v>
      </c>
      <c r="F40" s="69">
        <v>25579562.896845225</v>
      </c>
      <c r="G40" s="69">
        <v>31014662.186066747</v>
      </c>
      <c r="H40" s="69">
        <v>36318876.308660485</v>
      </c>
      <c r="I40" s="69">
        <v>65457317.162604786</v>
      </c>
      <c r="J40" s="69">
        <v>73686155.136961669</v>
      </c>
      <c r="K40" s="69">
        <v>81930243.708014384</v>
      </c>
      <c r="L40" s="69">
        <v>90270527.241111487</v>
      </c>
      <c r="M40" s="69">
        <v>98521288.461656168</v>
      </c>
      <c r="N40" s="69">
        <v>103713193.13981861</v>
      </c>
      <c r="O40" s="69">
        <v>104536716.32532646</v>
      </c>
      <c r="P40" s="69">
        <v>105967123.82340607</v>
      </c>
      <c r="Q40" s="69">
        <v>107241049.92507648</v>
      </c>
      <c r="R40" s="69">
        <v>111933076.59466062</v>
      </c>
      <c r="S40" s="69">
        <v>117520559.52990498</v>
      </c>
      <c r="T40" s="69">
        <v>124985883.81445587</v>
      </c>
      <c r="U40" s="69">
        <v>128099432.87534446</v>
      </c>
      <c r="V40" s="69">
        <v>129594222.7938983</v>
      </c>
      <c r="W40" s="69">
        <v>120543209.46775976</v>
      </c>
      <c r="X40" s="70">
        <v>1698000000.0000002</v>
      </c>
    </row>
    <row r="41" spans="2:24" x14ac:dyDescent="0.35">
      <c r="B41" s="3" t="s">
        <v>216</v>
      </c>
      <c r="C41" s="69">
        <v>0</v>
      </c>
      <c r="D41" s="69">
        <v>0</v>
      </c>
      <c r="E41" s="69">
        <v>0</v>
      </c>
      <c r="F41" s="69">
        <v>0</v>
      </c>
      <c r="G41" s="69">
        <v>0</v>
      </c>
      <c r="H41" s="69">
        <v>0</v>
      </c>
      <c r="I41" s="69">
        <v>0</v>
      </c>
      <c r="J41" s="69">
        <v>0</v>
      </c>
      <c r="K41" s="69">
        <v>0</v>
      </c>
      <c r="L41" s="69">
        <v>0</v>
      </c>
      <c r="M41" s="69">
        <v>36818181.81818182</v>
      </c>
      <c r="N41" s="69">
        <v>36818181.81818182</v>
      </c>
      <c r="O41" s="69">
        <v>36818181.81818182</v>
      </c>
      <c r="P41" s="69">
        <v>36818181.81818182</v>
      </c>
      <c r="Q41" s="69">
        <v>36818181.81818182</v>
      </c>
      <c r="R41" s="69">
        <v>36818181.81818182</v>
      </c>
      <c r="S41" s="69">
        <v>36818181.81818182</v>
      </c>
      <c r="T41" s="69">
        <v>36818181.81818182</v>
      </c>
      <c r="U41" s="69">
        <v>36818181.81818182</v>
      </c>
      <c r="V41" s="69">
        <v>36818181.81818182</v>
      </c>
      <c r="W41" s="69">
        <v>36818181.81818182</v>
      </c>
      <c r="X41" s="70">
        <v>405000000</v>
      </c>
    </row>
    <row r="42" spans="2:24" ht="15" thickBot="1" x14ac:dyDescent="0.4">
      <c r="B42" s="75" t="s">
        <v>223</v>
      </c>
      <c r="C42" s="71">
        <v>12796214.207192903</v>
      </c>
      <c r="D42" s="71">
        <v>25928595.339465663</v>
      </c>
      <c r="E42" s="71">
        <v>36703377.450902462</v>
      </c>
      <c r="F42" s="71">
        <v>46959496.064357646</v>
      </c>
      <c r="G42" s="71">
        <v>56937364.908749402</v>
      </c>
      <c r="H42" s="71">
        <v>66674952.02933193</v>
      </c>
      <c r="I42" s="71">
        <v>105133491.50413249</v>
      </c>
      <c r="J42" s="71">
        <v>118350141.75450622</v>
      </c>
      <c r="K42" s="71">
        <v>131591286.56939393</v>
      </c>
      <c r="L42" s="71">
        <v>144986933.77856269</v>
      </c>
      <c r="M42" s="71">
        <v>158238795.79007691</v>
      </c>
      <c r="N42" s="71">
        <v>166577711.74374959</v>
      </c>
      <c r="O42" s="71">
        <v>167900403.71433508</v>
      </c>
      <c r="P42" s="71">
        <v>170197835.70613557</v>
      </c>
      <c r="Q42" s="71">
        <v>172243936.96406147</v>
      </c>
      <c r="R42" s="71">
        <v>179779979.79909685</v>
      </c>
      <c r="S42" s="71">
        <v>188754249.06593433</v>
      </c>
      <c r="T42" s="71">
        <v>200744590.88357618</v>
      </c>
      <c r="U42" s="71">
        <v>205745380.67958137</v>
      </c>
      <c r="V42" s="71">
        <v>208146219.73035327</v>
      </c>
      <c r="W42" s="71">
        <v>193609042.31650415</v>
      </c>
      <c r="X42" s="72">
        <v>2758000000</v>
      </c>
    </row>
    <row r="43" spans="2:24" ht="15" thickTop="1" x14ac:dyDescent="0.35">
      <c r="B43" s="78" t="s">
        <v>142</v>
      </c>
      <c r="C43" s="79">
        <v>19766509.750948388</v>
      </c>
      <c r="D43" s="79">
        <v>40052301.743890047</v>
      </c>
      <c r="E43" s="79">
        <v>56696274.111150146</v>
      </c>
      <c r="F43" s="79">
        <v>72539058.961202875</v>
      </c>
      <c r="G43" s="79">
        <v>87952027.094816148</v>
      </c>
      <c r="H43" s="79">
        <v>102993828.33799241</v>
      </c>
      <c r="I43" s="79">
        <v>170590808.66673729</v>
      </c>
      <c r="J43" s="79">
        <v>192036296.89146787</v>
      </c>
      <c r="K43" s="79">
        <v>213521530.2774083</v>
      </c>
      <c r="L43" s="79">
        <v>235257461.01967418</v>
      </c>
      <c r="M43" s="79">
        <v>338669175.160824</v>
      </c>
      <c r="N43" s="79">
        <v>352199995.7926591</v>
      </c>
      <c r="O43" s="79">
        <v>354346210.94875246</v>
      </c>
      <c r="P43" s="79">
        <v>358074050.43863255</v>
      </c>
      <c r="Q43" s="79">
        <v>361394077.79822886</v>
      </c>
      <c r="R43" s="79">
        <v>373622147.30284834</v>
      </c>
      <c r="S43" s="79">
        <v>388183899.50493026</v>
      </c>
      <c r="T43" s="79">
        <v>407639565.60712296</v>
      </c>
      <c r="U43" s="79">
        <v>415753904.46401674</v>
      </c>
      <c r="V43" s="79">
        <v>419649533.43334246</v>
      </c>
      <c r="W43" s="79">
        <v>396061342.69335485</v>
      </c>
      <c r="X43" s="80">
        <v>5357000000</v>
      </c>
    </row>
    <row r="44" spans="2:24" ht="15" thickBot="1" x14ac:dyDescent="0.4">
      <c r="B44" s="4" t="s">
        <v>217</v>
      </c>
      <c r="C44" s="81">
        <v>19766509.750948388</v>
      </c>
      <c r="D44" s="81">
        <v>59818811.494838431</v>
      </c>
      <c r="E44" s="81">
        <v>116515085.60598858</v>
      </c>
      <c r="F44" s="81">
        <v>189054144.56719145</v>
      </c>
      <c r="G44" s="81">
        <v>277006171.66200757</v>
      </c>
      <c r="H44" s="81">
        <v>380000000</v>
      </c>
      <c r="I44" s="81">
        <v>550590808.66673732</v>
      </c>
      <c r="J44" s="81">
        <v>742627105.55820513</v>
      </c>
      <c r="K44" s="81">
        <v>956148635.83561349</v>
      </c>
      <c r="L44" s="81">
        <v>1191406096.8552876</v>
      </c>
      <c r="M44" s="81">
        <v>1530075272.0161116</v>
      </c>
      <c r="N44" s="81">
        <v>1882275267.8087707</v>
      </c>
      <c r="O44" s="81">
        <v>2236621478.7575231</v>
      </c>
      <c r="P44" s="81">
        <v>2594695529.1961555</v>
      </c>
      <c r="Q44" s="81">
        <v>2956089606.9943843</v>
      </c>
      <c r="R44" s="81">
        <v>3329711754.2972326</v>
      </c>
      <c r="S44" s="81">
        <v>3717895653.8021631</v>
      </c>
      <c r="T44" s="81">
        <v>4125535219.409286</v>
      </c>
      <c r="U44" s="81">
        <v>4541289123.8733025</v>
      </c>
      <c r="V44" s="81">
        <v>4960938657.3066444</v>
      </c>
      <c r="W44" s="81">
        <v>5356999999.999999</v>
      </c>
      <c r="X44" s="83"/>
    </row>
    <row r="46" spans="2:24" x14ac:dyDescent="0.35">
      <c r="B46" s="2" t="s">
        <v>231</v>
      </c>
    </row>
    <row r="47" spans="2:24" ht="15" thickBot="1" x14ac:dyDescent="0.4"/>
    <row r="48" spans="2:24" x14ac:dyDescent="0.35">
      <c r="B48" s="76" t="s">
        <v>10</v>
      </c>
      <c r="C48" s="67">
        <v>2020</v>
      </c>
      <c r="D48" s="67">
        <v>2021</v>
      </c>
      <c r="E48" s="67">
        <v>2022</v>
      </c>
      <c r="F48" s="67">
        <v>2023</v>
      </c>
      <c r="G48" s="67">
        <v>2024</v>
      </c>
      <c r="H48" s="67">
        <v>2025</v>
      </c>
      <c r="I48" s="67">
        <v>2026</v>
      </c>
      <c r="J48" s="67">
        <v>2027</v>
      </c>
      <c r="K48" s="67">
        <v>2028</v>
      </c>
      <c r="L48" s="67">
        <v>2029</v>
      </c>
      <c r="M48" s="67">
        <v>2030</v>
      </c>
      <c r="N48" s="67">
        <v>2031</v>
      </c>
      <c r="O48" s="67">
        <v>2032</v>
      </c>
      <c r="P48" s="67">
        <v>2033</v>
      </c>
      <c r="Q48" s="67">
        <v>2034</v>
      </c>
      <c r="R48" s="67">
        <v>2035</v>
      </c>
      <c r="S48" s="67">
        <v>2036</v>
      </c>
      <c r="T48" s="67">
        <v>2037</v>
      </c>
      <c r="U48" s="67">
        <v>2038</v>
      </c>
      <c r="V48" s="67">
        <v>2039</v>
      </c>
      <c r="W48" s="68">
        <v>2040</v>
      </c>
    </row>
    <row r="49" spans="2:23" x14ac:dyDescent="0.35">
      <c r="B49" s="3" t="s">
        <v>229</v>
      </c>
      <c r="C49" s="224">
        <f>((F11*1000000)+C25+C27)/1000000</f>
        <v>114.18205786254734</v>
      </c>
      <c r="D49" s="224">
        <f t="shared" ref="C49:L50" si="0">((G11*1000000)+D25+D27)/1000000</f>
        <v>133.19749400000003</v>
      </c>
      <c r="E49" s="224">
        <f t="shared" si="0"/>
        <v>149.62292600000001</v>
      </c>
      <c r="F49" s="224">
        <f t="shared" si="0"/>
        <v>111.287363</v>
      </c>
      <c r="G49" s="224">
        <f t="shared" si="0"/>
        <v>117.80814999999998</v>
      </c>
      <c r="H49" s="224">
        <f t="shared" si="0"/>
        <v>99.575816041351118</v>
      </c>
      <c r="I49" s="224">
        <f t="shared" si="0"/>
        <v>91.114199359900653</v>
      </c>
      <c r="J49" s="224">
        <f t="shared" si="0"/>
        <v>191.87424931446844</v>
      </c>
      <c r="K49" s="224">
        <f t="shared" si="0"/>
        <v>93.107750868636941</v>
      </c>
      <c r="L49" s="224">
        <f t="shared" si="0"/>
        <v>94.232297858993405</v>
      </c>
      <c r="M49" s="224">
        <f t="shared" ref="M49:V50" si="1">((P11*1000000)+M25+M27)/1000000</f>
        <v>128.4249321817345</v>
      </c>
      <c r="N49" s="224">
        <f t="shared" si="1"/>
        <v>71.316621787610586</v>
      </c>
      <c r="O49" s="224">
        <f t="shared" si="1"/>
        <v>72.463393168511644</v>
      </c>
      <c r="P49" s="224">
        <f t="shared" si="1"/>
        <v>960.19199117757955</v>
      </c>
      <c r="Q49" s="224">
        <f t="shared" si="1"/>
        <v>961.40860093557751</v>
      </c>
      <c r="R49" s="224">
        <f t="shared" si="1"/>
        <v>76.114285499575516</v>
      </c>
      <c r="S49" s="224">
        <f t="shared" si="1"/>
        <v>77.404986791835526</v>
      </c>
      <c r="T49" s="224">
        <f t="shared" si="1"/>
        <v>78.734409122863312</v>
      </c>
      <c r="U49" s="224">
        <f t="shared" si="1"/>
        <v>80.103714123821945</v>
      </c>
      <c r="V49" s="224">
        <f t="shared" si="1"/>
        <v>81.514098274809285</v>
      </c>
      <c r="W49" s="224">
        <f t="shared" ref="W49:W50" si="2">((Z11*1000000)+W25+W27)/1000000</f>
        <v>82.96679395032632</v>
      </c>
    </row>
    <row r="50" spans="2:23" ht="15" thickBot="1" x14ac:dyDescent="0.4">
      <c r="B50" s="6" t="s">
        <v>230</v>
      </c>
      <c r="C50" s="225">
        <f t="shared" si="0"/>
        <v>287.00413149393961</v>
      </c>
      <c r="D50" s="225">
        <f t="shared" si="0"/>
        <v>311.87976518213037</v>
      </c>
      <c r="E50" s="225">
        <f t="shared" si="0"/>
        <v>353.0717782772382</v>
      </c>
      <c r="F50" s="225">
        <f t="shared" si="0"/>
        <v>458.46253690580789</v>
      </c>
      <c r="G50" s="225">
        <f t="shared" si="0"/>
        <v>424.21430112335912</v>
      </c>
      <c r="H50" s="225">
        <f t="shared" si="0"/>
        <v>410.13305416813711</v>
      </c>
      <c r="I50" s="225">
        <f t="shared" si="0"/>
        <v>528.88542134327872</v>
      </c>
      <c r="J50" s="225">
        <f t="shared" si="0"/>
        <v>523.2320022346164</v>
      </c>
      <c r="K50" s="225">
        <f t="shared" si="0"/>
        <v>473.69155299826872</v>
      </c>
      <c r="L50" s="225">
        <f t="shared" si="0"/>
        <v>547.04543962167691</v>
      </c>
      <c r="M50" s="225">
        <f t="shared" si="1"/>
        <v>447.44929272674136</v>
      </c>
      <c r="N50" s="225">
        <f t="shared" si="1"/>
        <v>752.76237773499656</v>
      </c>
      <c r="O50" s="225">
        <f t="shared" si="1"/>
        <v>759.41734958085317</v>
      </c>
      <c r="P50" s="225">
        <f t="shared" si="1"/>
        <v>794.38906883420157</v>
      </c>
      <c r="Q50" s="225">
        <f t="shared" si="1"/>
        <v>753.8106694535627</v>
      </c>
      <c r="R50" s="225">
        <f t="shared" si="1"/>
        <v>748.34404216364521</v>
      </c>
      <c r="S50" s="225">
        <f t="shared" si="1"/>
        <v>754.54052098683076</v>
      </c>
      <c r="T50" s="225">
        <f t="shared" si="1"/>
        <v>763.28106898443627</v>
      </c>
      <c r="U50" s="225">
        <f t="shared" si="1"/>
        <v>786.71826232292347</v>
      </c>
      <c r="V50" s="225">
        <f t="shared" si="1"/>
        <v>799.19035638331525</v>
      </c>
      <c r="W50" s="225">
        <f t="shared" si="2"/>
        <v>818.51591881688421</v>
      </c>
    </row>
    <row r="51" spans="2:23" x14ac:dyDescent="0.35">
      <c r="B51" s="76" t="s">
        <v>11</v>
      </c>
      <c r="C51" s="67">
        <v>2020</v>
      </c>
      <c r="D51" s="67">
        <v>2021</v>
      </c>
      <c r="E51" s="67">
        <v>2022</v>
      </c>
      <c r="F51" s="67">
        <v>2023</v>
      </c>
      <c r="G51" s="67">
        <v>2024</v>
      </c>
      <c r="H51" s="67">
        <v>2025</v>
      </c>
      <c r="I51" s="67">
        <v>2026</v>
      </c>
      <c r="J51" s="67">
        <v>2027</v>
      </c>
      <c r="K51" s="67">
        <v>2028</v>
      </c>
      <c r="L51" s="67">
        <v>2029</v>
      </c>
      <c r="M51" s="67">
        <v>2030</v>
      </c>
      <c r="N51" s="67">
        <v>2031</v>
      </c>
      <c r="O51" s="67">
        <v>2032</v>
      </c>
      <c r="P51" s="67">
        <v>2033</v>
      </c>
      <c r="Q51" s="67">
        <v>2034</v>
      </c>
      <c r="R51" s="67">
        <v>2035</v>
      </c>
      <c r="S51" s="67">
        <v>2036</v>
      </c>
      <c r="T51" s="67">
        <v>2037</v>
      </c>
      <c r="U51" s="67">
        <v>2038</v>
      </c>
      <c r="V51" s="67">
        <v>2039</v>
      </c>
      <c r="W51" s="68">
        <v>2040</v>
      </c>
    </row>
    <row r="52" spans="2:23" x14ac:dyDescent="0.35">
      <c r="B52" s="3" t="s">
        <v>229</v>
      </c>
      <c r="C52" s="224">
        <f t="shared" ref="C52:L53" si="3">((F11*1000000)+C32+C34)/1000000</f>
        <v>114.18205786254734</v>
      </c>
      <c r="D52" s="224">
        <f t="shared" si="3"/>
        <v>133.19749400000003</v>
      </c>
      <c r="E52" s="224">
        <f t="shared" si="3"/>
        <v>149.62292600000001</v>
      </c>
      <c r="F52" s="224">
        <f t="shared" si="3"/>
        <v>111.287363</v>
      </c>
      <c r="G52" s="224">
        <f t="shared" si="3"/>
        <v>117.80814999999998</v>
      </c>
      <c r="H52" s="224">
        <f t="shared" si="3"/>
        <v>99.575816041351118</v>
      </c>
      <c r="I52" s="224">
        <f t="shared" si="3"/>
        <v>91.114199359900653</v>
      </c>
      <c r="J52" s="224">
        <f t="shared" si="3"/>
        <v>191.87424931446844</v>
      </c>
      <c r="K52" s="224">
        <f t="shared" si="3"/>
        <v>93.107750868636941</v>
      </c>
      <c r="L52" s="224">
        <f t="shared" si="3"/>
        <v>94.232297858993405</v>
      </c>
      <c r="M52" s="224">
        <f t="shared" ref="M52:V53" si="4">((P11*1000000)+M32+M34)/1000000</f>
        <v>132.60675036355269</v>
      </c>
      <c r="N52" s="224">
        <f t="shared" si="4"/>
        <v>75.498439969428773</v>
      </c>
      <c r="O52" s="224">
        <f t="shared" si="4"/>
        <v>76.645211350329831</v>
      </c>
      <c r="P52" s="224">
        <f t="shared" si="4"/>
        <v>964.37380935939768</v>
      </c>
      <c r="Q52" s="224">
        <f t="shared" si="4"/>
        <v>965.59041911739564</v>
      </c>
      <c r="R52" s="224">
        <f t="shared" si="4"/>
        <v>80.296103681393689</v>
      </c>
      <c r="S52" s="224">
        <f t="shared" si="4"/>
        <v>81.586804973653699</v>
      </c>
      <c r="T52" s="224">
        <f t="shared" si="4"/>
        <v>82.916227304681499</v>
      </c>
      <c r="U52" s="224">
        <f t="shared" si="4"/>
        <v>84.285532305640132</v>
      </c>
      <c r="V52" s="224">
        <f t="shared" si="4"/>
        <v>85.695916456627458</v>
      </c>
      <c r="W52" s="224">
        <f t="shared" ref="W52:W53" si="5">((Z11*1000000)+W32+W34)/1000000</f>
        <v>87.148612132144507</v>
      </c>
    </row>
    <row r="53" spans="2:23" ht="15" thickBot="1" x14ac:dyDescent="0.4">
      <c r="B53" s="6" t="s">
        <v>230</v>
      </c>
      <c r="C53" s="225">
        <f t="shared" si="3"/>
        <v>294.85311860148136</v>
      </c>
      <c r="D53" s="225">
        <f t="shared" si="3"/>
        <v>327.7555703808257</v>
      </c>
      <c r="E53" s="225">
        <f t="shared" si="3"/>
        <v>375.59354605123826</v>
      </c>
      <c r="F53" s="225">
        <f t="shared" si="3"/>
        <v>487.32551138317075</v>
      </c>
      <c r="G53" s="225">
        <f t="shared" si="3"/>
        <v>459.19432314264134</v>
      </c>
      <c r="H53" s="225">
        <f t="shared" si="3"/>
        <v>451.04349759125495</v>
      </c>
      <c r="I53" s="225">
        <f t="shared" si="3"/>
        <v>582.11322860387838</v>
      </c>
      <c r="J53" s="225">
        <f t="shared" si="3"/>
        <v>583.41041324442904</v>
      </c>
      <c r="K53" s="225">
        <f t="shared" si="3"/>
        <v>540.84552766724198</v>
      </c>
      <c r="L53" s="225">
        <f t="shared" si="3"/>
        <v>621.23805182942203</v>
      </c>
      <c r="M53" s="225">
        <f t="shared" si="4"/>
        <v>528.45544273631435</v>
      </c>
      <c r="N53" s="225">
        <f t="shared" si="4"/>
        <v>842.06337919793009</v>
      </c>
      <c r="O53" s="225">
        <f t="shared" si="4"/>
        <v>853.34942752717029</v>
      </c>
      <c r="P53" s="225">
        <f t="shared" si="4"/>
        <v>893.43061209448445</v>
      </c>
      <c r="Q53" s="225">
        <f t="shared" si="4"/>
        <v>858.14563634504532</v>
      </c>
      <c r="R53" s="225">
        <f t="shared" si="4"/>
        <v>861.8937509947076</v>
      </c>
      <c r="S53" s="225">
        <f t="shared" si="4"/>
        <v>879.67059661936901</v>
      </c>
      <c r="T53" s="225">
        <f t="shared" si="4"/>
        <v>902.82537264521443</v>
      </c>
      <c r="U53" s="225">
        <f t="shared" si="4"/>
        <v>936.44545780823466</v>
      </c>
      <c r="V53" s="225">
        <f t="shared" si="4"/>
        <v>956.31047521212247</v>
      </c>
      <c r="W53" s="225">
        <f t="shared" si="5"/>
        <v>972.07597166066716</v>
      </c>
    </row>
    <row r="54" spans="2:23" x14ac:dyDescent="0.35">
      <c r="B54" s="76" t="s">
        <v>12</v>
      </c>
      <c r="C54" s="67">
        <v>2020</v>
      </c>
      <c r="D54" s="67">
        <v>2021</v>
      </c>
      <c r="E54" s="67">
        <v>2022</v>
      </c>
      <c r="F54" s="67">
        <v>2023</v>
      </c>
      <c r="G54" s="67">
        <v>2024</v>
      </c>
      <c r="H54" s="67">
        <v>2025</v>
      </c>
      <c r="I54" s="67">
        <v>2026</v>
      </c>
      <c r="J54" s="67">
        <v>2027</v>
      </c>
      <c r="K54" s="67">
        <v>2028</v>
      </c>
      <c r="L54" s="67">
        <v>2029</v>
      </c>
      <c r="M54" s="67">
        <v>2030</v>
      </c>
      <c r="N54" s="67">
        <v>2031</v>
      </c>
      <c r="O54" s="67">
        <v>2032</v>
      </c>
      <c r="P54" s="67">
        <v>2033</v>
      </c>
      <c r="Q54" s="67">
        <v>2034</v>
      </c>
      <c r="R54" s="67">
        <v>2035</v>
      </c>
      <c r="S54" s="67">
        <v>2036</v>
      </c>
      <c r="T54" s="67">
        <v>2037</v>
      </c>
      <c r="U54" s="67">
        <v>2038</v>
      </c>
      <c r="V54" s="67">
        <v>2039</v>
      </c>
      <c r="W54" s="68">
        <v>2040</v>
      </c>
    </row>
    <row r="55" spans="2:23" x14ac:dyDescent="0.35">
      <c r="B55" s="3" t="s">
        <v>229</v>
      </c>
      <c r="C55" s="224">
        <f t="shared" ref="C55:L56" si="6">((F11*1000000)+C39+C41)/1000000</f>
        <v>114.18205786254734</v>
      </c>
      <c r="D55" s="224">
        <f t="shared" si="6"/>
        <v>133.19749400000003</v>
      </c>
      <c r="E55" s="224">
        <f t="shared" si="6"/>
        <v>149.62292600000001</v>
      </c>
      <c r="F55" s="224">
        <f t="shared" si="6"/>
        <v>111.287363</v>
      </c>
      <c r="G55" s="224">
        <f t="shared" si="6"/>
        <v>117.80814999999998</v>
      </c>
      <c r="H55" s="224">
        <f t="shared" si="6"/>
        <v>99.575816041351118</v>
      </c>
      <c r="I55" s="224">
        <f t="shared" si="6"/>
        <v>91.114199359900653</v>
      </c>
      <c r="J55" s="224">
        <f t="shared" si="6"/>
        <v>191.87424931446844</v>
      </c>
      <c r="K55" s="224">
        <f t="shared" si="6"/>
        <v>93.107750868636941</v>
      </c>
      <c r="L55" s="224">
        <f t="shared" si="6"/>
        <v>94.232297858993405</v>
      </c>
      <c r="M55" s="224">
        <f t="shared" ref="M55:V56" si="7">((P11*1000000)+M39+M41)/1000000</f>
        <v>177.24311399991632</v>
      </c>
      <c r="N55" s="224">
        <f t="shared" si="7"/>
        <v>120.1348036057924</v>
      </c>
      <c r="O55" s="224">
        <f t="shared" si="7"/>
        <v>121.28157498669347</v>
      </c>
      <c r="P55" s="224">
        <f t="shared" si="7"/>
        <v>1009.0101729957614</v>
      </c>
      <c r="Q55" s="224">
        <f t="shared" si="7"/>
        <v>1010.2267827537594</v>
      </c>
      <c r="R55" s="224">
        <f t="shared" si="7"/>
        <v>124.93246731775734</v>
      </c>
      <c r="S55" s="224">
        <f t="shared" si="7"/>
        <v>126.22316861001735</v>
      </c>
      <c r="T55" s="224">
        <f t="shared" si="7"/>
        <v>127.55259094104514</v>
      </c>
      <c r="U55" s="224">
        <f t="shared" si="7"/>
        <v>128.92189594200374</v>
      </c>
      <c r="V55" s="224">
        <f t="shared" si="7"/>
        <v>130.33228009299111</v>
      </c>
      <c r="W55" s="224">
        <f t="shared" ref="W55:W56" si="8">((Z11*1000000)+W39+W41)/1000000</f>
        <v>131.78497576850813</v>
      </c>
    </row>
    <row r="56" spans="2:23" ht="15" thickBot="1" x14ac:dyDescent="0.4">
      <c r="B56" s="6" t="s">
        <v>230</v>
      </c>
      <c r="C56" s="225">
        <f t="shared" si="6"/>
        <v>305.53258041025208</v>
      </c>
      <c r="D56" s="225">
        <f t="shared" si="6"/>
        <v>349.31601174389004</v>
      </c>
      <c r="E56" s="225">
        <f t="shared" si="6"/>
        <v>405.87100111115012</v>
      </c>
      <c r="F56" s="225">
        <f t="shared" si="6"/>
        <v>525.89181496120284</v>
      </c>
      <c r="G56" s="225">
        <f t="shared" si="6"/>
        <v>506.02317458612481</v>
      </c>
      <c r="H56" s="225">
        <f t="shared" si="6"/>
        <v>506.1309843379924</v>
      </c>
      <c r="I56" s="225">
        <f t="shared" si="6"/>
        <v>683.42513912281504</v>
      </c>
      <c r="J56" s="225">
        <f t="shared" si="6"/>
        <v>697.84714066475885</v>
      </c>
      <c r="K56" s="225">
        <f t="shared" si="6"/>
        <v>668.47655841211395</v>
      </c>
      <c r="L56" s="225">
        <f t="shared" si="6"/>
        <v>762.04629046036041</v>
      </c>
      <c r="M56" s="225">
        <f t="shared" si="7"/>
        <v>682.11670142257788</v>
      </c>
      <c r="N56" s="225">
        <f t="shared" si="7"/>
        <v>998.24792972800708</v>
      </c>
      <c r="O56" s="225">
        <f t="shared" si="7"/>
        <v>1005.0582284071828</v>
      </c>
      <c r="P56" s="225">
        <f t="shared" si="7"/>
        <v>1041.7936108553276</v>
      </c>
      <c r="Q56" s="225">
        <f t="shared" si="7"/>
        <v>1003.3208056410872</v>
      </c>
      <c r="R56" s="225">
        <f t="shared" si="7"/>
        <v>1009.0378660276366</v>
      </c>
      <c r="S56" s="225">
        <f t="shared" si="7"/>
        <v>1029.4323208985118</v>
      </c>
      <c r="T56" s="225">
        <f t="shared" si="7"/>
        <v>1057.0113181457396</v>
      </c>
      <c r="U56" s="225">
        <f t="shared" si="7"/>
        <v>1088.2842100445016</v>
      </c>
      <c r="V56" s="225">
        <f t="shared" si="7"/>
        <v>1103.5154101494961</v>
      </c>
      <c r="W56" s="225">
        <f t="shared" si="8"/>
        <v>1099.6598142061152</v>
      </c>
    </row>
    <row r="58" spans="2:23" x14ac:dyDescent="0.35">
      <c r="B58" s="2" t="s">
        <v>242</v>
      </c>
    </row>
    <row r="59" spans="2:23" x14ac:dyDescent="0.35">
      <c r="B59" t="s">
        <v>243</v>
      </c>
    </row>
    <row r="60" spans="2:23" x14ac:dyDescent="0.35">
      <c r="B60" t="s">
        <v>244</v>
      </c>
    </row>
    <row r="61" spans="2:23" x14ac:dyDescent="0.35">
      <c r="B61" t="s">
        <v>245</v>
      </c>
    </row>
    <row r="62" spans="2:23" x14ac:dyDescent="0.35">
      <c r="B62" t="s">
        <v>246</v>
      </c>
    </row>
  </sheetData>
  <pageMargins left="0.7" right="0.7" top="0.75" bottom="0.75" header="0.3" footer="0.3"/>
  <pageSetup orientation="portrait" horizontalDpi="1200" verticalDpi="1200"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2"/>
  <sheetViews>
    <sheetView topLeftCell="A19" zoomScale="91" zoomScaleNormal="91" workbookViewId="0">
      <selection activeCell="J11" sqref="J11"/>
    </sheetView>
  </sheetViews>
  <sheetFormatPr defaultRowHeight="14.5" x14ac:dyDescent="0.35"/>
  <cols>
    <col min="1" max="1" width="12.81640625" customWidth="1"/>
    <col min="2" max="2" width="15.54296875" bestFit="1" customWidth="1"/>
    <col min="3" max="3" width="9.81640625" style="109" bestFit="1" customWidth="1"/>
    <col min="4" max="5" width="13.7265625" style="7" customWidth="1"/>
    <col min="6" max="6" width="9.1796875" customWidth="1"/>
    <col min="7" max="7" width="12.453125" customWidth="1"/>
    <col min="8" max="9" width="9.1796875" customWidth="1"/>
    <col min="10" max="10" width="12.81640625" customWidth="1"/>
    <col min="11" max="13" width="9.1796875" customWidth="1"/>
    <col min="14" max="14" width="10.453125" customWidth="1"/>
    <col min="15" max="21" width="9.1796875" customWidth="1"/>
    <col min="22" max="22" width="13.26953125" customWidth="1"/>
    <col min="26" max="26" width="10" customWidth="1"/>
    <col min="29" max="29" width="13.26953125" bestFit="1" customWidth="1"/>
    <col min="33" max="33" width="10.453125" customWidth="1"/>
  </cols>
  <sheetData>
    <row r="1" spans="1:4" x14ac:dyDescent="0.35">
      <c r="A1" s="2" t="s">
        <v>247</v>
      </c>
    </row>
    <row r="2" spans="1:4" x14ac:dyDescent="0.35">
      <c r="A2" s="2"/>
    </row>
    <row r="3" spans="1:4" x14ac:dyDescent="0.35">
      <c r="A3" s="414" t="s">
        <v>248</v>
      </c>
      <c r="B3" s="414"/>
      <c r="C3" s="414"/>
    </row>
    <row r="4" spans="1:4" ht="35.25" customHeight="1" x14ac:dyDescent="0.35">
      <c r="A4" s="413" t="s">
        <v>249</v>
      </c>
      <c r="B4" s="413"/>
      <c r="C4" s="413"/>
      <c r="D4" s="97"/>
    </row>
    <row r="5" spans="1:4" ht="14.5" customHeight="1" x14ac:dyDescent="0.35">
      <c r="A5" s="413" t="s">
        <v>250</v>
      </c>
      <c r="B5" s="413"/>
      <c r="C5" s="413"/>
      <c r="D5" s="182"/>
    </row>
    <row r="6" spans="1:4" ht="54.75" customHeight="1" x14ac:dyDescent="0.35">
      <c r="A6" s="415" t="s">
        <v>251</v>
      </c>
      <c r="B6" s="415"/>
      <c r="C6" s="415"/>
      <c r="D6" s="182"/>
    </row>
    <row r="7" spans="1:4" x14ac:dyDescent="0.35">
      <c r="A7" s="415"/>
      <c r="B7" s="415"/>
      <c r="C7" s="415"/>
      <c r="D7" s="182"/>
    </row>
    <row r="8" spans="1:4" x14ac:dyDescent="0.35">
      <c r="A8" s="413" t="s">
        <v>252</v>
      </c>
      <c r="B8" s="413"/>
      <c r="C8" s="413"/>
      <c r="D8" s="182"/>
    </row>
    <row r="9" spans="1:4" ht="66" customHeight="1" x14ac:dyDescent="0.35">
      <c r="A9" s="416" t="s">
        <v>253</v>
      </c>
      <c r="B9" s="416"/>
      <c r="C9" s="416"/>
      <c r="D9" s="182"/>
    </row>
    <row r="10" spans="1:4" x14ac:dyDescent="0.35">
      <c r="A10" s="416" t="s">
        <v>254</v>
      </c>
      <c r="B10" s="416"/>
      <c r="C10" s="416"/>
      <c r="D10" s="182"/>
    </row>
    <row r="11" spans="1:4" ht="42" customHeight="1" x14ac:dyDescent="0.35">
      <c r="A11" s="416" t="s">
        <v>255</v>
      </c>
      <c r="B11" s="416"/>
      <c r="C11" s="416"/>
      <c r="D11" s="182"/>
    </row>
    <row r="12" spans="1:4" x14ac:dyDescent="0.35">
      <c r="A12" s="416" t="s">
        <v>256</v>
      </c>
      <c r="B12" s="416"/>
      <c r="C12" s="416"/>
      <c r="D12" s="182"/>
    </row>
    <row r="13" spans="1:4" ht="48.75" customHeight="1" x14ac:dyDescent="0.35">
      <c r="A13" s="416" t="s">
        <v>257</v>
      </c>
      <c r="B13" s="416"/>
      <c r="C13" s="416"/>
      <c r="D13" s="182"/>
    </row>
    <row r="14" spans="1:4" ht="42" customHeight="1" x14ac:dyDescent="0.35">
      <c r="A14" s="416"/>
      <c r="B14" s="416"/>
      <c r="C14" s="416"/>
      <c r="D14" s="182"/>
    </row>
    <row r="15" spans="1:4" x14ac:dyDescent="0.35">
      <c r="A15" s="416" t="s">
        <v>258</v>
      </c>
      <c r="B15" s="416"/>
      <c r="C15" s="416"/>
      <c r="D15" s="182"/>
    </row>
    <row r="16" spans="1:4" x14ac:dyDescent="0.35">
      <c r="A16" s="416"/>
      <c r="B16" s="416"/>
      <c r="C16" s="416"/>
      <c r="D16" s="182"/>
    </row>
    <row r="17" spans="1:37" x14ac:dyDescent="0.35">
      <c r="A17" s="416"/>
      <c r="B17" s="416"/>
      <c r="C17" s="416"/>
      <c r="D17" s="182"/>
    </row>
    <row r="18" spans="1:37" x14ac:dyDescent="0.35">
      <c r="A18" s="416"/>
      <c r="B18" s="416"/>
      <c r="C18" s="416"/>
      <c r="D18" s="182"/>
    </row>
    <row r="19" spans="1:37" ht="28.5" customHeight="1" x14ac:dyDescent="0.35">
      <c r="A19" s="416"/>
      <c r="B19" s="416"/>
      <c r="C19" s="416"/>
      <c r="D19" s="182"/>
    </row>
    <row r="20" spans="1:37" ht="66.75" customHeight="1" x14ac:dyDescent="0.35">
      <c r="A20" s="416" t="s">
        <v>259</v>
      </c>
      <c r="B20" s="416"/>
      <c r="C20" s="416"/>
      <c r="D20" s="182"/>
    </row>
    <row r="21" spans="1:37" ht="63" customHeight="1" x14ac:dyDescent="0.35">
      <c r="A21" s="416" t="s">
        <v>260</v>
      </c>
      <c r="B21" s="416"/>
      <c r="C21" s="416"/>
      <c r="D21" s="182"/>
    </row>
    <row r="24" spans="1:37" x14ac:dyDescent="0.35">
      <c r="A24" s="2" t="s">
        <v>261</v>
      </c>
    </row>
    <row r="25" spans="1:37" ht="15" thickBot="1" x14ac:dyDescent="0.4"/>
    <row r="26" spans="1:37" ht="15" thickBot="1" x14ac:dyDescent="0.4">
      <c r="D26" s="436" t="s">
        <v>262</v>
      </c>
      <c r="E26" s="438" t="s">
        <v>263</v>
      </c>
      <c r="F26" s="440" t="s">
        <v>264</v>
      </c>
      <c r="G26" s="441"/>
      <c r="H26" s="441"/>
      <c r="I26" s="441"/>
      <c r="J26" s="441"/>
      <c r="K26" s="441"/>
      <c r="L26" s="441"/>
      <c r="M26" s="441"/>
      <c r="N26" s="441"/>
      <c r="O26" s="441"/>
      <c r="P26" s="441"/>
      <c r="Q26" s="441"/>
      <c r="R26" s="441"/>
      <c r="S26" s="441"/>
      <c r="T26" s="441"/>
      <c r="U26" s="442"/>
      <c r="V26" s="440" t="s">
        <v>265</v>
      </c>
      <c r="W26" s="441"/>
      <c r="X26" s="441"/>
      <c r="Y26" s="441"/>
      <c r="Z26" s="441"/>
      <c r="AA26" s="441"/>
      <c r="AB26" s="441"/>
      <c r="AC26" s="441"/>
      <c r="AD26" s="441"/>
      <c r="AE26" s="441"/>
      <c r="AF26" s="441"/>
      <c r="AG26" s="441"/>
      <c r="AH26" s="441"/>
      <c r="AI26" s="441"/>
      <c r="AJ26" s="441"/>
      <c r="AK26" s="442"/>
    </row>
    <row r="27" spans="1:37" ht="15" thickBot="1" x14ac:dyDescent="0.4">
      <c r="D27" s="437"/>
      <c r="E27" s="439"/>
      <c r="F27" s="440" t="s">
        <v>266</v>
      </c>
      <c r="G27" s="441"/>
      <c r="H27" s="441"/>
      <c r="I27" s="442"/>
      <c r="J27" s="440" t="s">
        <v>267</v>
      </c>
      <c r="K27" s="441"/>
      <c r="L27" s="441"/>
      <c r="M27" s="442"/>
      <c r="N27" s="440" t="s">
        <v>268</v>
      </c>
      <c r="O27" s="441"/>
      <c r="P27" s="441"/>
      <c r="Q27" s="442"/>
      <c r="R27" s="440" t="s">
        <v>269</v>
      </c>
      <c r="S27" s="441"/>
      <c r="T27" s="441"/>
      <c r="U27" s="442"/>
      <c r="V27" s="440" t="s">
        <v>266</v>
      </c>
      <c r="W27" s="441"/>
      <c r="X27" s="441"/>
      <c r="Y27" s="442"/>
      <c r="Z27" s="440" t="s">
        <v>267</v>
      </c>
      <c r="AA27" s="441"/>
      <c r="AB27" s="441"/>
      <c r="AC27" s="442"/>
      <c r="AD27" s="440" t="s">
        <v>268</v>
      </c>
      <c r="AE27" s="441"/>
      <c r="AF27" s="441"/>
      <c r="AG27" s="442"/>
      <c r="AH27" s="443" t="s">
        <v>269</v>
      </c>
      <c r="AI27" s="444"/>
      <c r="AJ27" s="444"/>
      <c r="AK27" s="445"/>
    </row>
    <row r="28" spans="1:37" ht="39.5" thickBot="1" x14ac:dyDescent="0.4">
      <c r="A28" s="144" t="s">
        <v>270</v>
      </c>
      <c r="B28" s="145" t="s">
        <v>271</v>
      </c>
      <c r="C28" s="146" t="s">
        <v>272</v>
      </c>
      <c r="D28" s="437"/>
      <c r="E28" s="439"/>
      <c r="F28" s="147" t="s">
        <v>273</v>
      </c>
      <c r="G28" s="148" t="s">
        <v>274</v>
      </c>
      <c r="H28" s="148" t="s">
        <v>275</v>
      </c>
      <c r="I28" s="149" t="s">
        <v>276</v>
      </c>
      <c r="J28" s="150" t="s">
        <v>273</v>
      </c>
      <c r="K28" s="151" t="s">
        <v>274</v>
      </c>
      <c r="L28" s="151" t="s">
        <v>275</v>
      </c>
      <c r="M28" s="152" t="s">
        <v>276</v>
      </c>
      <c r="N28" s="147" t="s">
        <v>273</v>
      </c>
      <c r="O28" s="148" t="s">
        <v>274</v>
      </c>
      <c r="P28" s="148" t="s">
        <v>275</v>
      </c>
      <c r="Q28" s="149" t="s">
        <v>276</v>
      </c>
      <c r="R28" s="147" t="s">
        <v>273</v>
      </c>
      <c r="S28" s="148" t="s">
        <v>274</v>
      </c>
      <c r="T28" s="148" t="s">
        <v>275</v>
      </c>
      <c r="U28" s="149" t="s">
        <v>276</v>
      </c>
      <c r="V28" s="147" t="s">
        <v>273</v>
      </c>
      <c r="W28" s="148" t="s">
        <v>274</v>
      </c>
      <c r="X28" s="148" t="s">
        <v>275</v>
      </c>
      <c r="Y28" s="149" t="s">
        <v>276</v>
      </c>
      <c r="Z28" s="147" t="s">
        <v>273</v>
      </c>
      <c r="AA28" s="148" t="s">
        <v>274</v>
      </c>
      <c r="AB28" s="148" t="s">
        <v>275</v>
      </c>
      <c r="AC28" s="149" t="s">
        <v>276</v>
      </c>
      <c r="AD28" s="147" t="s">
        <v>273</v>
      </c>
      <c r="AE28" s="148" t="s">
        <v>274</v>
      </c>
      <c r="AF28" s="148" t="s">
        <v>275</v>
      </c>
      <c r="AG28" s="149" t="s">
        <v>276</v>
      </c>
      <c r="AH28" s="153" t="s">
        <v>273</v>
      </c>
      <c r="AI28" s="148" t="s">
        <v>274</v>
      </c>
      <c r="AJ28" s="148" t="s">
        <v>275</v>
      </c>
      <c r="AK28" s="149" t="s">
        <v>276</v>
      </c>
    </row>
    <row r="29" spans="1:37" x14ac:dyDescent="0.35">
      <c r="A29" s="12" t="s">
        <v>277</v>
      </c>
      <c r="B29" s="12" t="s">
        <v>278</v>
      </c>
      <c r="C29" s="109" t="s">
        <v>279</v>
      </c>
      <c r="D29" s="154" t="s">
        <v>280</v>
      </c>
      <c r="E29" s="155" t="s">
        <v>281</v>
      </c>
      <c r="F29" s="434">
        <v>0</v>
      </c>
      <c r="G29" s="432">
        <v>0</v>
      </c>
      <c r="H29" s="432">
        <v>0</v>
      </c>
      <c r="I29" s="433">
        <v>0</v>
      </c>
      <c r="J29" s="434">
        <v>0</v>
      </c>
      <c r="K29" s="432">
        <v>0</v>
      </c>
      <c r="L29" s="432">
        <v>0</v>
      </c>
      <c r="M29" s="433">
        <v>0</v>
      </c>
      <c r="N29" s="434">
        <v>0</v>
      </c>
      <c r="O29" s="432">
        <v>0</v>
      </c>
      <c r="P29" s="432">
        <v>0</v>
      </c>
      <c r="Q29" s="433">
        <v>0</v>
      </c>
      <c r="R29" s="434">
        <v>0</v>
      </c>
      <c r="S29" s="432">
        <v>0</v>
      </c>
      <c r="T29" s="432">
        <v>0</v>
      </c>
      <c r="U29" s="433">
        <v>0</v>
      </c>
      <c r="V29" s="434">
        <v>0</v>
      </c>
      <c r="W29" s="432">
        <v>0</v>
      </c>
      <c r="X29" s="432">
        <v>1</v>
      </c>
      <c r="Y29" s="433">
        <v>0</v>
      </c>
      <c r="Z29" s="434">
        <v>0</v>
      </c>
      <c r="AA29" s="432">
        <v>0</v>
      </c>
      <c r="AB29" s="432">
        <v>0</v>
      </c>
      <c r="AC29" s="433">
        <v>0</v>
      </c>
      <c r="AD29" s="434">
        <v>0</v>
      </c>
      <c r="AE29" s="432">
        <v>0</v>
      </c>
      <c r="AF29" s="432">
        <v>0</v>
      </c>
      <c r="AG29" s="433">
        <v>0</v>
      </c>
      <c r="AH29" s="435">
        <v>0</v>
      </c>
      <c r="AI29" s="432">
        <v>0</v>
      </c>
      <c r="AJ29" s="432">
        <v>0</v>
      </c>
      <c r="AK29" s="433">
        <v>0</v>
      </c>
    </row>
    <row r="30" spans="1:37" ht="27" customHeight="1" x14ac:dyDescent="0.35">
      <c r="A30" s="12"/>
      <c r="B30" s="12" t="s">
        <v>126</v>
      </c>
      <c r="C30" s="109" t="s">
        <v>279</v>
      </c>
      <c r="D30" s="430" t="s">
        <v>282</v>
      </c>
      <c r="E30" s="431" t="s">
        <v>280</v>
      </c>
      <c r="F30" s="424"/>
      <c r="G30" s="418"/>
      <c r="H30" s="418"/>
      <c r="I30" s="419"/>
      <c r="J30" s="424"/>
      <c r="K30" s="418"/>
      <c r="L30" s="418"/>
      <c r="M30" s="419"/>
      <c r="N30" s="424"/>
      <c r="O30" s="418"/>
      <c r="P30" s="418"/>
      <c r="Q30" s="419"/>
      <c r="R30" s="424"/>
      <c r="S30" s="418"/>
      <c r="T30" s="418"/>
      <c r="U30" s="419"/>
      <c r="V30" s="424"/>
      <c r="W30" s="418"/>
      <c r="X30" s="418"/>
      <c r="Y30" s="419"/>
      <c r="Z30" s="424"/>
      <c r="AA30" s="418"/>
      <c r="AB30" s="418"/>
      <c r="AC30" s="419"/>
      <c r="AD30" s="424"/>
      <c r="AE30" s="418"/>
      <c r="AF30" s="418"/>
      <c r="AG30" s="419"/>
      <c r="AH30" s="425"/>
      <c r="AI30" s="418"/>
      <c r="AJ30" s="418"/>
      <c r="AK30" s="419"/>
    </row>
    <row r="31" spans="1:37" ht="24.75" customHeight="1" x14ac:dyDescent="0.35">
      <c r="A31" s="12"/>
      <c r="B31" s="12" t="s">
        <v>126</v>
      </c>
      <c r="C31" s="109" t="s">
        <v>279</v>
      </c>
      <c r="D31" s="430"/>
      <c r="E31" s="431"/>
      <c r="F31" s="424"/>
      <c r="G31" s="418"/>
      <c r="H31" s="418"/>
      <c r="I31" s="419"/>
      <c r="J31" s="424"/>
      <c r="K31" s="418"/>
      <c r="L31" s="418"/>
      <c r="M31" s="419"/>
      <c r="N31" s="424"/>
      <c r="O31" s="418"/>
      <c r="P31" s="418"/>
      <c r="Q31" s="419"/>
      <c r="R31" s="424"/>
      <c r="S31" s="418"/>
      <c r="T31" s="418"/>
      <c r="U31" s="419"/>
      <c r="V31" s="424"/>
      <c r="W31" s="418"/>
      <c r="X31" s="418"/>
      <c r="Y31" s="419"/>
      <c r="Z31" s="424"/>
      <c r="AA31" s="418"/>
      <c r="AB31" s="418"/>
      <c r="AC31" s="419"/>
      <c r="AD31" s="424"/>
      <c r="AE31" s="418"/>
      <c r="AF31" s="418"/>
      <c r="AG31" s="419"/>
      <c r="AH31" s="425"/>
      <c r="AI31" s="418"/>
      <c r="AJ31" s="418"/>
      <c r="AK31" s="419"/>
    </row>
    <row r="32" spans="1:37" x14ac:dyDescent="0.35">
      <c r="A32" s="12"/>
      <c r="B32" s="12" t="s">
        <v>126</v>
      </c>
      <c r="C32" s="109" t="s">
        <v>279</v>
      </c>
      <c r="D32" s="154" t="s">
        <v>282</v>
      </c>
      <c r="E32" s="155" t="s">
        <v>280</v>
      </c>
      <c r="F32" s="156">
        <v>0</v>
      </c>
      <c r="G32" s="157">
        <v>0</v>
      </c>
      <c r="H32" s="157">
        <v>0</v>
      </c>
      <c r="I32" s="158">
        <v>0</v>
      </c>
      <c r="J32" s="156">
        <v>0</v>
      </c>
      <c r="K32" s="157">
        <v>0</v>
      </c>
      <c r="L32" s="157">
        <v>0</v>
      </c>
      <c r="M32" s="158">
        <v>0</v>
      </c>
      <c r="N32" s="156">
        <v>0</v>
      </c>
      <c r="O32" s="157">
        <v>0</v>
      </c>
      <c r="P32" s="157">
        <v>0</v>
      </c>
      <c r="Q32" s="158">
        <v>0</v>
      </c>
      <c r="R32" s="156">
        <v>0</v>
      </c>
      <c r="S32" s="157">
        <v>0</v>
      </c>
      <c r="T32" s="157">
        <v>0</v>
      </c>
      <c r="U32" s="158">
        <v>0</v>
      </c>
      <c r="V32" s="156">
        <v>0</v>
      </c>
      <c r="W32" s="157">
        <v>0</v>
      </c>
      <c r="X32" s="157">
        <v>0</v>
      </c>
      <c r="Y32" s="158">
        <v>0</v>
      </c>
      <c r="Z32" s="156">
        <v>3.72</v>
      </c>
      <c r="AA32" s="157">
        <v>0</v>
      </c>
      <c r="AB32" s="157">
        <v>0</v>
      </c>
      <c r="AC32" s="158">
        <v>0</v>
      </c>
      <c r="AD32" s="156">
        <v>0</v>
      </c>
      <c r="AE32" s="157">
        <v>0</v>
      </c>
      <c r="AF32" s="157">
        <v>0</v>
      </c>
      <c r="AG32" s="158">
        <v>0</v>
      </c>
      <c r="AH32" s="159">
        <v>3.72</v>
      </c>
      <c r="AI32" s="157">
        <v>0</v>
      </c>
      <c r="AJ32" s="157">
        <v>0</v>
      </c>
      <c r="AK32" s="158">
        <v>0</v>
      </c>
    </row>
    <row r="33" spans="1:37" x14ac:dyDescent="0.35">
      <c r="A33" s="12"/>
      <c r="B33" s="12" t="s">
        <v>126</v>
      </c>
      <c r="C33" s="109" t="s">
        <v>279</v>
      </c>
      <c r="D33" s="154" t="s">
        <v>282</v>
      </c>
      <c r="E33" s="155" t="s">
        <v>280</v>
      </c>
      <c r="F33" s="156">
        <v>0</v>
      </c>
      <c r="G33" s="157">
        <v>0</v>
      </c>
      <c r="H33" s="157">
        <v>0</v>
      </c>
      <c r="I33" s="158">
        <v>0</v>
      </c>
      <c r="J33" s="156">
        <v>0</v>
      </c>
      <c r="K33" s="157">
        <v>0</v>
      </c>
      <c r="L33" s="157">
        <v>0</v>
      </c>
      <c r="M33" s="158">
        <v>0</v>
      </c>
      <c r="N33" s="156">
        <v>0</v>
      </c>
      <c r="O33" s="157">
        <v>0</v>
      </c>
      <c r="P33" s="157">
        <v>0</v>
      </c>
      <c r="Q33" s="158">
        <v>0</v>
      </c>
      <c r="R33" s="156">
        <v>0</v>
      </c>
      <c r="S33" s="157">
        <v>0</v>
      </c>
      <c r="T33" s="157">
        <v>0</v>
      </c>
      <c r="U33" s="158">
        <v>0</v>
      </c>
      <c r="V33" s="156">
        <v>0</v>
      </c>
      <c r="W33" s="157">
        <v>0</v>
      </c>
      <c r="X33" s="157">
        <v>0</v>
      </c>
      <c r="Y33" s="158">
        <v>0</v>
      </c>
      <c r="Z33" s="156">
        <v>0</v>
      </c>
      <c r="AA33" s="157">
        <v>0</v>
      </c>
      <c r="AB33" s="157">
        <v>0</v>
      </c>
      <c r="AC33" s="158">
        <v>0</v>
      </c>
      <c r="AD33" s="156">
        <v>0</v>
      </c>
      <c r="AE33" s="157">
        <v>0</v>
      </c>
      <c r="AF33" s="157">
        <v>0</v>
      </c>
      <c r="AG33" s="158">
        <v>0</v>
      </c>
      <c r="AH33" s="159">
        <v>0</v>
      </c>
      <c r="AI33" s="157">
        <v>1</v>
      </c>
      <c r="AJ33" s="157">
        <v>1</v>
      </c>
      <c r="AK33" s="158">
        <v>0</v>
      </c>
    </row>
    <row r="34" spans="1:37" x14ac:dyDescent="0.35">
      <c r="A34" s="12"/>
      <c r="B34" s="12" t="s">
        <v>126</v>
      </c>
      <c r="C34" s="109" t="s">
        <v>279</v>
      </c>
      <c r="D34" s="154" t="s">
        <v>282</v>
      </c>
      <c r="E34" s="155" t="s">
        <v>280</v>
      </c>
      <c r="F34" s="156">
        <v>0</v>
      </c>
      <c r="G34" s="157">
        <v>0</v>
      </c>
      <c r="H34" s="157">
        <v>0</v>
      </c>
      <c r="I34" s="158">
        <v>0</v>
      </c>
      <c r="J34" s="156">
        <v>0</v>
      </c>
      <c r="K34" s="157">
        <v>0</v>
      </c>
      <c r="L34" s="157">
        <v>0</v>
      </c>
      <c r="M34" s="158">
        <v>0</v>
      </c>
      <c r="N34" s="156">
        <v>0</v>
      </c>
      <c r="O34" s="157">
        <v>0</v>
      </c>
      <c r="P34" s="157">
        <v>0</v>
      </c>
      <c r="Q34" s="158">
        <v>0</v>
      </c>
      <c r="R34" s="156">
        <v>0</v>
      </c>
      <c r="S34" s="157">
        <v>0</v>
      </c>
      <c r="T34" s="157">
        <v>0</v>
      </c>
      <c r="U34" s="158">
        <v>0</v>
      </c>
      <c r="V34" s="156">
        <v>0</v>
      </c>
      <c r="W34" s="157">
        <v>0</v>
      </c>
      <c r="X34" s="157">
        <v>0</v>
      </c>
      <c r="Y34" s="158">
        <v>0</v>
      </c>
      <c r="Z34" s="156">
        <v>0</v>
      </c>
      <c r="AA34" s="157">
        <v>0</v>
      </c>
      <c r="AB34" s="157">
        <v>0</v>
      </c>
      <c r="AC34" s="158">
        <v>0</v>
      </c>
      <c r="AD34" s="156">
        <v>0</v>
      </c>
      <c r="AE34" s="157">
        <v>0</v>
      </c>
      <c r="AF34" s="157">
        <v>0</v>
      </c>
      <c r="AG34" s="158">
        <v>0</v>
      </c>
      <c r="AH34" s="159">
        <v>4.38</v>
      </c>
      <c r="AI34" s="157">
        <v>0</v>
      </c>
      <c r="AJ34" s="157">
        <v>0</v>
      </c>
      <c r="AK34" s="158">
        <v>0</v>
      </c>
    </row>
    <row r="35" spans="1:37" x14ac:dyDescent="0.35">
      <c r="A35" s="12"/>
      <c r="B35" s="12" t="s">
        <v>126</v>
      </c>
      <c r="C35" s="109" t="s">
        <v>279</v>
      </c>
      <c r="D35" s="154" t="s">
        <v>282</v>
      </c>
      <c r="E35" s="155" t="s">
        <v>280</v>
      </c>
      <c r="F35" s="156">
        <v>0</v>
      </c>
      <c r="G35" s="157">
        <v>0</v>
      </c>
      <c r="H35" s="157">
        <v>0</v>
      </c>
      <c r="I35" s="158">
        <v>0</v>
      </c>
      <c r="J35" s="156">
        <v>0</v>
      </c>
      <c r="K35" s="157">
        <v>0</v>
      </c>
      <c r="L35" s="157">
        <v>0</v>
      </c>
      <c r="M35" s="158">
        <v>0</v>
      </c>
      <c r="N35" s="156">
        <v>0</v>
      </c>
      <c r="O35" s="157">
        <v>0</v>
      </c>
      <c r="P35" s="157">
        <v>0</v>
      </c>
      <c r="Q35" s="158">
        <v>0</v>
      </c>
      <c r="R35" s="156">
        <v>0</v>
      </c>
      <c r="S35" s="157">
        <v>0</v>
      </c>
      <c r="T35" s="157">
        <v>0</v>
      </c>
      <c r="U35" s="158">
        <v>0</v>
      </c>
      <c r="V35" s="156">
        <v>0</v>
      </c>
      <c r="W35" s="157">
        <v>0</v>
      </c>
      <c r="X35" s="157">
        <v>0</v>
      </c>
      <c r="Y35" s="158">
        <v>0</v>
      </c>
      <c r="Z35" s="156">
        <v>0</v>
      </c>
      <c r="AA35" s="157">
        <v>0</v>
      </c>
      <c r="AB35" s="157">
        <v>0</v>
      </c>
      <c r="AC35" s="158">
        <v>0</v>
      </c>
      <c r="AD35" s="156">
        <v>0</v>
      </c>
      <c r="AE35" s="157">
        <v>0</v>
      </c>
      <c r="AF35" s="157">
        <v>0</v>
      </c>
      <c r="AG35" s="158">
        <v>0</v>
      </c>
      <c r="AH35" s="159">
        <v>2.5299999999999998</v>
      </c>
      <c r="AI35" s="157">
        <v>0</v>
      </c>
      <c r="AJ35" s="157">
        <v>0</v>
      </c>
      <c r="AK35" s="158">
        <v>0</v>
      </c>
    </row>
    <row r="36" spans="1:37" x14ac:dyDescent="0.35">
      <c r="A36" s="12"/>
      <c r="B36" s="12" t="s">
        <v>126</v>
      </c>
      <c r="C36" s="109" t="s">
        <v>279</v>
      </c>
      <c r="D36" s="154" t="s">
        <v>282</v>
      </c>
      <c r="E36" s="155" t="s">
        <v>280</v>
      </c>
      <c r="F36" s="156">
        <v>0</v>
      </c>
      <c r="G36" s="157">
        <v>0</v>
      </c>
      <c r="H36" s="157">
        <v>0</v>
      </c>
      <c r="I36" s="158">
        <v>0</v>
      </c>
      <c r="J36" s="156">
        <v>0</v>
      </c>
      <c r="K36" s="157">
        <v>0</v>
      </c>
      <c r="L36" s="157">
        <v>0</v>
      </c>
      <c r="M36" s="158">
        <v>0</v>
      </c>
      <c r="N36" s="156">
        <v>0</v>
      </c>
      <c r="O36" s="157">
        <v>0</v>
      </c>
      <c r="P36" s="157">
        <v>0</v>
      </c>
      <c r="Q36" s="158">
        <v>0</v>
      </c>
      <c r="R36" s="156">
        <v>0</v>
      </c>
      <c r="S36" s="157">
        <v>0</v>
      </c>
      <c r="T36" s="157">
        <v>0</v>
      </c>
      <c r="U36" s="158">
        <v>0</v>
      </c>
      <c r="V36" s="156">
        <v>0</v>
      </c>
      <c r="W36" s="157">
        <v>0</v>
      </c>
      <c r="X36" s="157">
        <v>0</v>
      </c>
      <c r="Y36" s="158">
        <v>0</v>
      </c>
      <c r="Z36" s="156">
        <v>0</v>
      </c>
      <c r="AA36" s="157">
        <v>0</v>
      </c>
      <c r="AB36" s="157">
        <v>0</v>
      </c>
      <c r="AC36" s="158">
        <v>0</v>
      </c>
      <c r="AD36" s="156">
        <v>0</v>
      </c>
      <c r="AE36" s="157">
        <v>0</v>
      </c>
      <c r="AF36" s="157">
        <v>0</v>
      </c>
      <c r="AG36" s="158">
        <v>0</v>
      </c>
      <c r="AH36" s="159">
        <v>0.73</v>
      </c>
      <c r="AI36" s="157">
        <v>0</v>
      </c>
      <c r="AJ36" s="157">
        <v>0</v>
      </c>
      <c r="AK36" s="158">
        <v>0</v>
      </c>
    </row>
    <row r="37" spans="1:37" ht="32.25" customHeight="1" x14ac:dyDescent="0.35">
      <c r="A37" s="12"/>
      <c r="B37" s="12" t="s">
        <v>278</v>
      </c>
      <c r="C37" s="109" t="s">
        <v>283</v>
      </c>
      <c r="D37" s="430" t="s">
        <v>282</v>
      </c>
      <c r="E37" s="431" t="s">
        <v>280</v>
      </c>
      <c r="F37" s="156">
        <v>0</v>
      </c>
      <c r="G37" s="157">
        <v>0</v>
      </c>
      <c r="H37" s="157">
        <v>0</v>
      </c>
      <c r="I37" s="158">
        <v>0</v>
      </c>
      <c r="J37" s="156">
        <v>0</v>
      </c>
      <c r="K37" s="157">
        <v>0</v>
      </c>
      <c r="L37" s="157">
        <v>0</v>
      </c>
      <c r="M37" s="158">
        <v>0</v>
      </c>
      <c r="N37" s="156">
        <v>0</v>
      </c>
      <c r="O37" s="157">
        <v>0</v>
      </c>
      <c r="P37" s="157">
        <v>0</v>
      </c>
      <c r="Q37" s="158">
        <v>0</v>
      </c>
      <c r="R37" s="156">
        <v>0</v>
      </c>
      <c r="S37" s="157">
        <v>0</v>
      </c>
      <c r="T37" s="157">
        <v>0</v>
      </c>
      <c r="U37" s="158">
        <v>0</v>
      </c>
      <c r="V37" s="424">
        <v>0</v>
      </c>
      <c r="W37" s="418">
        <v>0</v>
      </c>
      <c r="X37" s="418">
        <v>0</v>
      </c>
      <c r="Y37" s="419">
        <v>0</v>
      </c>
      <c r="Z37" s="424">
        <v>0</v>
      </c>
      <c r="AA37" s="418">
        <v>0</v>
      </c>
      <c r="AB37" s="418">
        <v>1</v>
      </c>
      <c r="AC37" s="419">
        <v>0</v>
      </c>
      <c r="AD37" s="424">
        <v>0</v>
      </c>
      <c r="AE37" s="418">
        <v>0</v>
      </c>
      <c r="AF37" s="418">
        <v>1</v>
      </c>
      <c r="AG37" s="419">
        <v>0</v>
      </c>
      <c r="AH37" s="425">
        <v>0</v>
      </c>
      <c r="AI37" s="418">
        <v>0</v>
      </c>
      <c r="AJ37" s="418">
        <v>1</v>
      </c>
      <c r="AK37" s="419">
        <v>0</v>
      </c>
    </row>
    <row r="38" spans="1:37" ht="32.25" customHeight="1" x14ac:dyDescent="0.35">
      <c r="A38" s="12"/>
      <c r="B38" s="12" t="s">
        <v>126</v>
      </c>
      <c r="C38" s="109" t="s">
        <v>283</v>
      </c>
      <c r="D38" s="430"/>
      <c r="E38" s="431"/>
      <c r="F38" s="156">
        <v>0</v>
      </c>
      <c r="G38" s="157">
        <v>0</v>
      </c>
      <c r="H38" s="157">
        <v>0</v>
      </c>
      <c r="I38" s="158">
        <v>0</v>
      </c>
      <c r="J38" s="156">
        <v>0</v>
      </c>
      <c r="K38" s="157">
        <v>0</v>
      </c>
      <c r="L38" s="157">
        <v>0</v>
      </c>
      <c r="M38" s="158">
        <v>0</v>
      </c>
      <c r="N38" s="156">
        <v>0</v>
      </c>
      <c r="O38" s="157">
        <v>0</v>
      </c>
      <c r="P38" s="157">
        <v>0</v>
      </c>
      <c r="Q38" s="158">
        <v>0</v>
      </c>
      <c r="R38" s="156">
        <v>0</v>
      </c>
      <c r="S38" s="157">
        <v>0</v>
      </c>
      <c r="T38" s="157">
        <v>0</v>
      </c>
      <c r="U38" s="158">
        <v>0</v>
      </c>
      <c r="V38" s="424"/>
      <c r="W38" s="418"/>
      <c r="X38" s="418"/>
      <c r="Y38" s="419"/>
      <c r="Z38" s="424"/>
      <c r="AA38" s="418"/>
      <c r="AB38" s="418"/>
      <c r="AC38" s="419"/>
      <c r="AD38" s="424"/>
      <c r="AE38" s="418"/>
      <c r="AF38" s="418"/>
      <c r="AG38" s="419"/>
      <c r="AH38" s="425"/>
      <c r="AI38" s="418"/>
      <c r="AJ38" s="418"/>
      <c r="AK38" s="419"/>
    </row>
    <row r="39" spans="1:37" ht="30" customHeight="1" x14ac:dyDescent="0.35">
      <c r="A39" s="12"/>
      <c r="B39" s="12" t="s">
        <v>126</v>
      </c>
      <c r="C39" s="109" t="s">
        <v>283</v>
      </c>
      <c r="D39" s="154" t="s">
        <v>282</v>
      </c>
      <c r="E39" s="155" t="s">
        <v>280</v>
      </c>
      <c r="F39" s="156">
        <v>0</v>
      </c>
      <c r="G39" s="157">
        <v>0</v>
      </c>
      <c r="H39" s="157">
        <v>0</v>
      </c>
      <c r="I39" s="158">
        <v>0</v>
      </c>
      <c r="J39" s="156">
        <v>0</v>
      </c>
      <c r="K39" s="157">
        <v>0</v>
      </c>
      <c r="L39" s="157">
        <v>0</v>
      </c>
      <c r="M39" s="158">
        <v>0</v>
      </c>
      <c r="N39" s="156">
        <v>0</v>
      </c>
      <c r="O39" s="157">
        <v>0</v>
      </c>
      <c r="P39" s="157">
        <v>0</v>
      </c>
      <c r="Q39" s="158">
        <v>0</v>
      </c>
      <c r="R39" s="156">
        <v>0</v>
      </c>
      <c r="S39" s="157">
        <v>0</v>
      </c>
      <c r="T39" s="157">
        <v>0</v>
      </c>
      <c r="U39" s="158">
        <v>0</v>
      </c>
      <c r="V39" s="156">
        <v>0</v>
      </c>
      <c r="W39" s="157">
        <v>0</v>
      </c>
      <c r="X39" s="157">
        <v>0</v>
      </c>
      <c r="Y39" s="158">
        <v>0</v>
      </c>
      <c r="Z39" s="156">
        <v>0</v>
      </c>
      <c r="AA39" s="157">
        <v>0</v>
      </c>
      <c r="AB39" s="157">
        <v>0</v>
      </c>
      <c r="AC39" s="158">
        <v>0.25</v>
      </c>
      <c r="AD39" s="156">
        <v>0</v>
      </c>
      <c r="AE39" s="157">
        <v>0</v>
      </c>
      <c r="AF39" s="157">
        <v>0</v>
      </c>
      <c r="AG39" s="158">
        <v>0</v>
      </c>
      <c r="AH39" s="159">
        <v>0</v>
      </c>
      <c r="AI39" s="157">
        <v>0</v>
      </c>
      <c r="AJ39" s="157">
        <v>0</v>
      </c>
      <c r="AK39" s="158">
        <v>0.25</v>
      </c>
    </row>
    <row r="40" spans="1:37" x14ac:dyDescent="0.35">
      <c r="A40" s="12"/>
      <c r="B40" s="12" t="s">
        <v>126</v>
      </c>
      <c r="C40" s="109" t="s">
        <v>283</v>
      </c>
      <c r="D40" s="154" t="s">
        <v>282</v>
      </c>
      <c r="E40" s="155" t="s">
        <v>280</v>
      </c>
      <c r="F40" s="156">
        <v>0</v>
      </c>
      <c r="G40" s="157">
        <v>0</v>
      </c>
      <c r="H40" s="157">
        <v>0</v>
      </c>
      <c r="I40" s="158">
        <v>0</v>
      </c>
      <c r="J40" s="156">
        <v>0</v>
      </c>
      <c r="K40" s="157">
        <v>0</v>
      </c>
      <c r="L40" s="157">
        <v>0</v>
      </c>
      <c r="M40" s="158">
        <v>0</v>
      </c>
      <c r="N40" s="156">
        <v>0</v>
      </c>
      <c r="O40" s="157">
        <v>0</v>
      </c>
      <c r="P40" s="157">
        <v>0</v>
      </c>
      <c r="Q40" s="158">
        <v>0</v>
      </c>
      <c r="R40" s="156">
        <v>0</v>
      </c>
      <c r="S40" s="157">
        <v>0</v>
      </c>
      <c r="T40" s="157">
        <v>0</v>
      </c>
      <c r="U40" s="158">
        <v>0</v>
      </c>
      <c r="V40" s="156">
        <v>0</v>
      </c>
      <c r="W40" s="157">
        <v>0</v>
      </c>
      <c r="X40" s="157">
        <v>0</v>
      </c>
      <c r="Y40" s="158">
        <v>0</v>
      </c>
      <c r="Z40" s="156">
        <v>0</v>
      </c>
      <c r="AA40" s="157">
        <v>0</v>
      </c>
      <c r="AB40" s="157">
        <v>1</v>
      </c>
      <c r="AC40" s="158">
        <v>0</v>
      </c>
      <c r="AD40" s="156">
        <v>0</v>
      </c>
      <c r="AE40" s="157">
        <v>0</v>
      </c>
      <c r="AF40" s="157">
        <v>0</v>
      </c>
      <c r="AG40" s="158">
        <v>0</v>
      </c>
      <c r="AH40" s="159">
        <v>0</v>
      </c>
      <c r="AI40" s="157">
        <v>0</v>
      </c>
      <c r="AJ40" s="157">
        <v>1</v>
      </c>
      <c r="AK40" s="158">
        <v>0</v>
      </c>
    </row>
    <row r="41" spans="1:37" x14ac:dyDescent="0.35">
      <c r="A41" s="12"/>
      <c r="B41" s="12" t="s">
        <v>126</v>
      </c>
      <c r="C41" s="109" t="s">
        <v>283</v>
      </c>
      <c r="D41" s="154" t="s">
        <v>282</v>
      </c>
      <c r="E41" s="155" t="s">
        <v>280</v>
      </c>
      <c r="F41" s="156">
        <v>0</v>
      </c>
      <c r="G41" s="157">
        <v>0</v>
      </c>
      <c r="H41" s="157">
        <v>0</v>
      </c>
      <c r="I41" s="158">
        <v>0</v>
      </c>
      <c r="J41" s="156">
        <v>0</v>
      </c>
      <c r="K41" s="157">
        <v>0</v>
      </c>
      <c r="L41" s="157">
        <v>0</v>
      </c>
      <c r="M41" s="158">
        <v>0</v>
      </c>
      <c r="N41" s="156">
        <v>0</v>
      </c>
      <c r="O41" s="157">
        <v>0</v>
      </c>
      <c r="P41" s="157">
        <v>0</v>
      </c>
      <c r="Q41" s="158">
        <v>0</v>
      </c>
      <c r="R41" s="156">
        <v>0</v>
      </c>
      <c r="S41" s="157">
        <v>0</v>
      </c>
      <c r="T41" s="157">
        <v>0</v>
      </c>
      <c r="U41" s="158">
        <v>0</v>
      </c>
      <c r="V41" s="156">
        <v>0</v>
      </c>
      <c r="W41" s="157">
        <v>0</v>
      </c>
      <c r="X41" s="157">
        <v>0</v>
      </c>
      <c r="Y41" s="158">
        <v>0</v>
      </c>
      <c r="Z41" s="156">
        <v>0</v>
      </c>
      <c r="AA41" s="157">
        <v>0</v>
      </c>
      <c r="AB41" s="157">
        <v>0</v>
      </c>
      <c r="AC41" s="158">
        <v>0</v>
      </c>
      <c r="AD41" s="156">
        <v>0</v>
      </c>
      <c r="AE41" s="157">
        <v>0</v>
      </c>
      <c r="AF41" s="157">
        <v>0</v>
      </c>
      <c r="AG41" s="158">
        <v>0</v>
      </c>
      <c r="AH41" s="159">
        <v>1.1000000000000001</v>
      </c>
      <c r="AI41" s="157">
        <v>0</v>
      </c>
      <c r="AJ41" s="157">
        <v>0</v>
      </c>
      <c r="AK41" s="158">
        <v>0</v>
      </c>
    </row>
    <row r="42" spans="1:37" x14ac:dyDescent="0.35">
      <c r="A42" s="12"/>
      <c r="B42" s="12" t="s">
        <v>126</v>
      </c>
      <c r="C42" s="109" t="s">
        <v>283</v>
      </c>
      <c r="D42" s="154" t="s">
        <v>282</v>
      </c>
      <c r="E42" s="155" t="s">
        <v>280</v>
      </c>
      <c r="F42" s="156">
        <v>0</v>
      </c>
      <c r="G42" s="157">
        <v>0</v>
      </c>
      <c r="H42" s="157">
        <v>0</v>
      </c>
      <c r="I42" s="158">
        <v>0</v>
      </c>
      <c r="J42" s="156">
        <v>0</v>
      </c>
      <c r="K42" s="157">
        <v>0</v>
      </c>
      <c r="L42" s="157">
        <v>0</v>
      </c>
      <c r="M42" s="158">
        <v>0</v>
      </c>
      <c r="N42" s="156">
        <v>0</v>
      </c>
      <c r="O42" s="157">
        <v>0</v>
      </c>
      <c r="P42" s="157">
        <v>0</v>
      </c>
      <c r="Q42" s="158">
        <v>0</v>
      </c>
      <c r="R42" s="156">
        <v>0</v>
      </c>
      <c r="S42" s="157">
        <v>0</v>
      </c>
      <c r="T42" s="157">
        <v>0</v>
      </c>
      <c r="U42" s="158">
        <v>0</v>
      </c>
      <c r="V42" s="156">
        <v>0</v>
      </c>
      <c r="W42" s="157">
        <v>0</v>
      </c>
      <c r="X42" s="157">
        <v>0</v>
      </c>
      <c r="Y42" s="158">
        <v>0</v>
      </c>
      <c r="Z42" s="156">
        <v>0</v>
      </c>
      <c r="AA42" s="157">
        <v>0</v>
      </c>
      <c r="AB42" s="157">
        <v>0</v>
      </c>
      <c r="AC42" s="158">
        <v>0</v>
      </c>
      <c r="AD42" s="156">
        <v>0</v>
      </c>
      <c r="AE42" s="157">
        <v>0</v>
      </c>
      <c r="AF42" s="157">
        <v>0</v>
      </c>
      <c r="AG42" s="158">
        <v>0</v>
      </c>
      <c r="AH42" s="160">
        <v>0.84</v>
      </c>
      <c r="AI42" s="157">
        <v>0</v>
      </c>
      <c r="AJ42" s="157">
        <v>0</v>
      </c>
      <c r="AK42" s="158">
        <v>0</v>
      </c>
    </row>
    <row r="43" spans="1:37" x14ac:dyDescent="0.35">
      <c r="A43" s="12" t="s">
        <v>277</v>
      </c>
      <c r="B43" s="12" t="s">
        <v>278</v>
      </c>
      <c r="C43" s="109" t="s">
        <v>283</v>
      </c>
      <c r="D43" s="154" t="s">
        <v>280</v>
      </c>
      <c r="E43" s="155" t="s">
        <v>281</v>
      </c>
      <c r="F43" s="156">
        <v>0</v>
      </c>
      <c r="G43" s="157">
        <v>0</v>
      </c>
      <c r="H43" s="157">
        <v>0</v>
      </c>
      <c r="I43" s="158">
        <v>0</v>
      </c>
      <c r="J43" s="156">
        <v>0</v>
      </c>
      <c r="K43" s="157">
        <v>0</v>
      </c>
      <c r="L43" s="157">
        <v>0</v>
      </c>
      <c r="M43" s="158">
        <v>0</v>
      </c>
      <c r="N43" s="156">
        <v>0</v>
      </c>
      <c r="O43" s="157">
        <v>0</v>
      </c>
      <c r="P43" s="157">
        <v>0</v>
      </c>
      <c r="Q43" s="158">
        <v>0</v>
      </c>
      <c r="R43" s="156">
        <v>0</v>
      </c>
      <c r="S43" s="157">
        <v>0</v>
      </c>
      <c r="T43" s="157">
        <v>0</v>
      </c>
      <c r="U43" s="158">
        <v>0</v>
      </c>
      <c r="V43" s="156">
        <v>1.7330000000000001</v>
      </c>
      <c r="W43" s="157">
        <v>0</v>
      </c>
      <c r="X43" s="157">
        <v>0</v>
      </c>
      <c r="Y43" s="158">
        <v>0</v>
      </c>
      <c r="Z43" s="156">
        <v>0</v>
      </c>
      <c r="AA43" s="157">
        <v>0</v>
      </c>
      <c r="AB43" s="157">
        <v>0</v>
      </c>
      <c r="AC43" s="158">
        <v>0</v>
      </c>
      <c r="AD43" s="156">
        <v>0</v>
      </c>
      <c r="AE43" s="157">
        <v>0</v>
      </c>
      <c r="AF43" s="157">
        <v>0</v>
      </c>
      <c r="AG43" s="158">
        <v>0</v>
      </c>
      <c r="AH43" s="159">
        <v>0</v>
      </c>
      <c r="AI43" s="157">
        <v>0</v>
      </c>
      <c r="AJ43" s="157">
        <v>0</v>
      </c>
      <c r="AK43" s="158">
        <v>0</v>
      </c>
    </row>
    <row r="44" spans="1:37" x14ac:dyDescent="0.35">
      <c r="A44" s="12" t="s">
        <v>277</v>
      </c>
      <c r="B44" s="12" t="s">
        <v>278</v>
      </c>
      <c r="C44" s="109" t="s">
        <v>283</v>
      </c>
      <c r="D44" s="154" t="s">
        <v>280</v>
      </c>
      <c r="E44" s="155" t="s">
        <v>281</v>
      </c>
      <c r="F44" s="156">
        <v>0</v>
      </c>
      <c r="G44" s="157">
        <v>0</v>
      </c>
      <c r="H44" s="157">
        <v>0</v>
      </c>
      <c r="I44" s="158">
        <v>0</v>
      </c>
      <c r="J44" s="156">
        <v>0</v>
      </c>
      <c r="K44" s="157">
        <v>0</v>
      </c>
      <c r="L44" s="157">
        <v>0</v>
      </c>
      <c r="M44" s="158">
        <v>0</v>
      </c>
      <c r="N44" s="156">
        <v>0</v>
      </c>
      <c r="O44" s="157">
        <v>0</v>
      </c>
      <c r="P44" s="157">
        <v>0</v>
      </c>
      <c r="Q44" s="158">
        <v>0</v>
      </c>
      <c r="R44" s="156">
        <v>0</v>
      </c>
      <c r="S44" s="157">
        <v>0</v>
      </c>
      <c r="T44" s="157">
        <v>0</v>
      </c>
      <c r="U44" s="158">
        <v>0</v>
      </c>
      <c r="V44" s="156">
        <v>1.26</v>
      </c>
      <c r="W44" s="157">
        <v>0</v>
      </c>
      <c r="X44" s="157">
        <v>0</v>
      </c>
      <c r="Y44" s="158">
        <v>0</v>
      </c>
      <c r="Z44" s="156">
        <v>0</v>
      </c>
      <c r="AA44" s="157">
        <v>0</v>
      </c>
      <c r="AB44" s="157">
        <v>0</v>
      </c>
      <c r="AC44" s="158">
        <v>0</v>
      </c>
      <c r="AD44" s="156">
        <v>0</v>
      </c>
      <c r="AE44" s="157">
        <v>0</v>
      </c>
      <c r="AF44" s="157">
        <v>0</v>
      </c>
      <c r="AG44" s="158">
        <v>0</v>
      </c>
      <c r="AH44" s="159">
        <v>0</v>
      </c>
      <c r="AI44" s="157">
        <v>0</v>
      </c>
      <c r="AJ44" s="157">
        <v>0</v>
      </c>
      <c r="AK44" s="158">
        <v>0</v>
      </c>
    </row>
    <row r="45" spans="1:37" x14ac:dyDescent="0.35">
      <c r="A45" s="12"/>
      <c r="B45" s="12" t="s">
        <v>126</v>
      </c>
      <c r="C45" s="109" t="s">
        <v>283</v>
      </c>
      <c r="D45" s="154" t="s">
        <v>282</v>
      </c>
      <c r="E45" s="155" t="s">
        <v>280</v>
      </c>
      <c r="F45" s="156">
        <v>0</v>
      </c>
      <c r="G45" s="157">
        <v>0</v>
      </c>
      <c r="H45" s="157">
        <v>0</v>
      </c>
      <c r="I45" s="158">
        <v>0</v>
      </c>
      <c r="J45" s="156">
        <v>0</v>
      </c>
      <c r="K45" s="157">
        <v>0</v>
      </c>
      <c r="L45" s="157">
        <v>0</v>
      </c>
      <c r="M45" s="158">
        <v>0</v>
      </c>
      <c r="N45" s="156">
        <v>0</v>
      </c>
      <c r="O45" s="157">
        <v>0</v>
      </c>
      <c r="P45" s="157">
        <v>0</v>
      </c>
      <c r="Q45" s="158">
        <v>0</v>
      </c>
      <c r="R45" s="156">
        <v>0</v>
      </c>
      <c r="S45" s="157">
        <v>0</v>
      </c>
      <c r="T45" s="157">
        <v>0</v>
      </c>
      <c r="U45" s="158">
        <v>0</v>
      </c>
      <c r="V45" s="156">
        <v>0</v>
      </c>
      <c r="W45" s="157">
        <v>0</v>
      </c>
      <c r="X45" s="157">
        <v>0</v>
      </c>
      <c r="Y45" s="158">
        <v>0</v>
      </c>
      <c r="Z45" s="156">
        <v>0</v>
      </c>
      <c r="AA45" s="157">
        <v>0</v>
      </c>
      <c r="AB45" s="157">
        <v>0</v>
      </c>
      <c r="AC45" s="158">
        <v>0</v>
      </c>
      <c r="AD45" s="156">
        <v>0</v>
      </c>
      <c r="AE45" s="157">
        <v>0</v>
      </c>
      <c r="AF45" s="157">
        <v>0</v>
      </c>
      <c r="AG45" s="158">
        <v>0</v>
      </c>
      <c r="AH45" s="159">
        <v>12.7</v>
      </c>
      <c r="AI45" s="157">
        <v>0</v>
      </c>
      <c r="AJ45" s="157">
        <v>0</v>
      </c>
      <c r="AK45" s="158">
        <v>0</v>
      </c>
    </row>
    <row r="46" spans="1:37" x14ac:dyDescent="0.35">
      <c r="A46" s="12"/>
      <c r="B46" s="12" t="s">
        <v>126</v>
      </c>
      <c r="C46" s="109" t="s">
        <v>283</v>
      </c>
      <c r="D46" s="154" t="s">
        <v>282</v>
      </c>
      <c r="E46" s="155" t="s">
        <v>280</v>
      </c>
      <c r="F46" s="156">
        <v>0</v>
      </c>
      <c r="G46" s="157">
        <v>0</v>
      </c>
      <c r="H46" s="157">
        <v>0</v>
      </c>
      <c r="I46" s="158">
        <v>0</v>
      </c>
      <c r="J46" s="156">
        <v>0</v>
      </c>
      <c r="K46" s="157">
        <v>0</v>
      </c>
      <c r="L46" s="157">
        <v>0</v>
      </c>
      <c r="M46" s="158">
        <v>0</v>
      </c>
      <c r="N46" s="156">
        <v>0</v>
      </c>
      <c r="O46" s="157">
        <v>0</v>
      </c>
      <c r="P46" s="157">
        <v>0</v>
      </c>
      <c r="Q46" s="158">
        <v>0</v>
      </c>
      <c r="R46" s="156">
        <v>0</v>
      </c>
      <c r="S46" s="157">
        <v>0</v>
      </c>
      <c r="T46" s="157">
        <v>0</v>
      </c>
      <c r="U46" s="158">
        <v>0</v>
      </c>
      <c r="V46" s="156">
        <v>0</v>
      </c>
      <c r="W46" s="157">
        <v>0</v>
      </c>
      <c r="X46" s="157">
        <v>0</v>
      </c>
      <c r="Y46" s="158">
        <v>0</v>
      </c>
      <c r="Z46" s="156">
        <v>0</v>
      </c>
      <c r="AA46" s="157">
        <v>0</v>
      </c>
      <c r="AB46" s="157">
        <v>0</v>
      </c>
      <c r="AC46" s="158">
        <v>0</v>
      </c>
      <c r="AD46" s="156">
        <v>0</v>
      </c>
      <c r="AE46" s="157">
        <v>0</v>
      </c>
      <c r="AF46" s="157">
        <v>0</v>
      </c>
      <c r="AG46" s="158">
        <v>0</v>
      </c>
      <c r="AH46" s="159">
        <v>2.5</v>
      </c>
      <c r="AI46" s="157">
        <v>0</v>
      </c>
      <c r="AJ46" s="157">
        <v>0</v>
      </c>
      <c r="AK46" s="158">
        <v>0</v>
      </c>
    </row>
    <row r="47" spans="1:37" x14ac:dyDescent="0.35">
      <c r="A47" s="12"/>
      <c r="B47" s="12" t="s">
        <v>278</v>
      </c>
      <c r="C47" s="109" t="s">
        <v>283</v>
      </c>
      <c r="D47" s="154" t="s">
        <v>282</v>
      </c>
      <c r="E47" s="155" t="s">
        <v>280</v>
      </c>
      <c r="F47" s="156">
        <v>0</v>
      </c>
      <c r="G47" s="157">
        <v>0</v>
      </c>
      <c r="H47" s="157">
        <v>0</v>
      </c>
      <c r="I47" s="158">
        <v>0</v>
      </c>
      <c r="J47" s="156">
        <v>0</v>
      </c>
      <c r="K47" s="157">
        <v>0</v>
      </c>
      <c r="L47" s="157">
        <v>0</v>
      </c>
      <c r="M47" s="158">
        <v>0</v>
      </c>
      <c r="N47" s="156">
        <v>0</v>
      </c>
      <c r="O47" s="157">
        <v>0</v>
      </c>
      <c r="P47" s="157">
        <v>0</v>
      </c>
      <c r="Q47" s="158">
        <v>0</v>
      </c>
      <c r="R47" s="156">
        <v>0</v>
      </c>
      <c r="S47" s="157">
        <v>0</v>
      </c>
      <c r="T47" s="157">
        <v>0</v>
      </c>
      <c r="U47" s="158">
        <v>0</v>
      </c>
      <c r="V47" s="156">
        <v>0</v>
      </c>
      <c r="W47" s="157">
        <v>0</v>
      </c>
      <c r="X47" s="157">
        <v>0</v>
      </c>
      <c r="Y47" s="158">
        <v>0</v>
      </c>
      <c r="Z47" s="156">
        <v>8.4</v>
      </c>
      <c r="AA47" s="157">
        <v>0</v>
      </c>
      <c r="AB47" s="157">
        <v>0</v>
      </c>
      <c r="AC47" s="158">
        <v>0</v>
      </c>
      <c r="AD47" s="156">
        <v>8.4</v>
      </c>
      <c r="AE47" s="157">
        <v>0</v>
      </c>
      <c r="AF47" s="157">
        <v>0</v>
      </c>
      <c r="AG47" s="158">
        <v>0</v>
      </c>
      <c r="AH47" s="159">
        <v>8.4</v>
      </c>
      <c r="AI47" s="157">
        <v>0</v>
      </c>
      <c r="AJ47" s="157">
        <v>0</v>
      </c>
      <c r="AK47" s="158">
        <v>0</v>
      </c>
    </row>
    <row r="48" spans="1:37" x14ac:dyDescent="0.35">
      <c r="A48" s="12"/>
      <c r="B48" s="12" t="s">
        <v>278</v>
      </c>
      <c r="C48" s="109" t="s">
        <v>283</v>
      </c>
      <c r="D48" s="154" t="s">
        <v>282</v>
      </c>
      <c r="E48" s="155" t="s">
        <v>280</v>
      </c>
      <c r="F48" s="156">
        <v>0</v>
      </c>
      <c r="G48" s="157">
        <v>0</v>
      </c>
      <c r="H48" s="157">
        <v>0</v>
      </c>
      <c r="I48" s="158">
        <v>0</v>
      </c>
      <c r="J48" s="156">
        <v>0</v>
      </c>
      <c r="K48" s="157">
        <v>0</v>
      </c>
      <c r="L48" s="157">
        <v>0</v>
      </c>
      <c r="M48" s="158">
        <v>0</v>
      </c>
      <c r="N48" s="156">
        <v>0</v>
      </c>
      <c r="O48" s="157">
        <v>0</v>
      </c>
      <c r="P48" s="157">
        <v>0</v>
      </c>
      <c r="Q48" s="158">
        <v>0</v>
      </c>
      <c r="R48" s="156">
        <v>0</v>
      </c>
      <c r="S48" s="157">
        <v>0</v>
      </c>
      <c r="T48" s="157">
        <v>0</v>
      </c>
      <c r="U48" s="158">
        <v>0</v>
      </c>
      <c r="V48" s="156">
        <v>0</v>
      </c>
      <c r="W48" s="157">
        <v>0</v>
      </c>
      <c r="X48" s="157">
        <v>0</v>
      </c>
      <c r="Y48" s="158">
        <v>0</v>
      </c>
      <c r="Z48" s="156">
        <v>3.077</v>
      </c>
      <c r="AA48" s="157">
        <v>0</v>
      </c>
      <c r="AB48" s="157">
        <v>0</v>
      </c>
      <c r="AC48" s="158">
        <v>0</v>
      </c>
      <c r="AD48" s="156">
        <v>3.077</v>
      </c>
      <c r="AE48" s="157">
        <v>0</v>
      </c>
      <c r="AF48" s="157">
        <v>0</v>
      </c>
      <c r="AG48" s="158">
        <v>0</v>
      </c>
      <c r="AH48" s="159">
        <v>3.077</v>
      </c>
      <c r="AI48" s="157">
        <v>0</v>
      </c>
      <c r="AJ48" s="157">
        <v>0</v>
      </c>
      <c r="AK48" s="158">
        <v>0</v>
      </c>
    </row>
    <row r="49" spans="1:37" x14ac:dyDescent="0.35">
      <c r="B49" s="12" t="s">
        <v>278</v>
      </c>
      <c r="C49" s="109" t="s">
        <v>284</v>
      </c>
      <c r="D49" s="430" t="s">
        <v>282</v>
      </c>
      <c r="E49" s="431" t="s">
        <v>280</v>
      </c>
      <c r="F49" s="156">
        <v>0</v>
      </c>
      <c r="G49" s="157">
        <v>0</v>
      </c>
      <c r="H49" s="157">
        <v>0</v>
      </c>
      <c r="I49" s="158">
        <v>0</v>
      </c>
      <c r="J49" s="156">
        <v>0</v>
      </c>
      <c r="K49" s="157">
        <v>0</v>
      </c>
      <c r="L49" s="157">
        <v>0</v>
      </c>
      <c r="M49" s="158">
        <v>0</v>
      </c>
      <c r="N49" s="156">
        <v>0</v>
      </c>
      <c r="O49" s="157">
        <v>0</v>
      </c>
      <c r="P49" s="157">
        <v>0</v>
      </c>
      <c r="Q49" s="158">
        <v>0</v>
      </c>
      <c r="R49" s="156">
        <v>0</v>
      </c>
      <c r="S49" s="157">
        <v>0</v>
      </c>
      <c r="T49" s="157">
        <v>0</v>
      </c>
      <c r="U49" s="158">
        <v>0</v>
      </c>
      <c r="V49" s="424">
        <v>0</v>
      </c>
      <c r="W49" s="418">
        <v>0</v>
      </c>
      <c r="X49" s="418">
        <v>0</v>
      </c>
      <c r="Y49" s="419">
        <v>0</v>
      </c>
      <c r="Z49" s="424">
        <v>0</v>
      </c>
      <c r="AA49" s="418">
        <v>2</v>
      </c>
      <c r="AB49" s="418">
        <v>1</v>
      </c>
      <c r="AC49" s="419">
        <v>0</v>
      </c>
      <c r="AD49" s="424">
        <v>0</v>
      </c>
      <c r="AE49" s="418">
        <v>2</v>
      </c>
      <c r="AF49" s="418">
        <v>1</v>
      </c>
      <c r="AG49" s="419">
        <v>0</v>
      </c>
      <c r="AH49" s="425">
        <v>0</v>
      </c>
      <c r="AI49" s="418">
        <v>2</v>
      </c>
      <c r="AJ49" s="418">
        <v>1</v>
      </c>
      <c r="AK49" s="419">
        <v>0</v>
      </c>
    </row>
    <row r="50" spans="1:37" x14ac:dyDescent="0.35">
      <c r="A50" s="12"/>
      <c r="B50" s="12" t="s">
        <v>126</v>
      </c>
      <c r="C50" s="109" t="s">
        <v>284</v>
      </c>
      <c r="D50" s="430"/>
      <c r="E50" s="431"/>
      <c r="F50" s="156">
        <v>0</v>
      </c>
      <c r="G50" s="157">
        <v>0</v>
      </c>
      <c r="H50" s="157">
        <v>0</v>
      </c>
      <c r="I50" s="158">
        <v>0</v>
      </c>
      <c r="J50" s="156">
        <v>0</v>
      </c>
      <c r="K50" s="157">
        <v>0</v>
      </c>
      <c r="L50" s="157">
        <v>0</v>
      </c>
      <c r="M50" s="158">
        <v>0</v>
      </c>
      <c r="N50" s="156">
        <v>0</v>
      </c>
      <c r="O50" s="157">
        <v>0</v>
      </c>
      <c r="P50" s="157">
        <v>0</v>
      </c>
      <c r="Q50" s="158">
        <v>0</v>
      </c>
      <c r="R50" s="156">
        <v>0</v>
      </c>
      <c r="S50" s="157">
        <v>0</v>
      </c>
      <c r="T50" s="157">
        <v>0</v>
      </c>
      <c r="U50" s="158">
        <v>0</v>
      </c>
      <c r="V50" s="424"/>
      <c r="W50" s="418"/>
      <c r="X50" s="418"/>
      <c r="Y50" s="419"/>
      <c r="Z50" s="424"/>
      <c r="AA50" s="418"/>
      <c r="AB50" s="418"/>
      <c r="AC50" s="419"/>
      <c r="AD50" s="424"/>
      <c r="AE50" s="418"/>
      <c r="AF50" s="418"/>
      <c r="AG50" s="419"/>
      <c r="AH50" s="425"/>
      <c r="AI50" s="418"/>
      <c r="AJ50" s="418"/>
      <c r="AK50" s="419"/>
    </row>
    <row r="51" spans="1:37" x14ac:dyDescent="0.35">
      <c r="A51" s="12"/>
      <c r="B51" s="12" t="s">
        <v>126</v>
      </c>
      <c r="C51" s="109" t="s">
        <v>284</v>
      </c>
      <c r="D51" s="430" t="s">
        <v>282</v>
      </c>
      <c r="E51" s="431" t="s">
        <v>280</v>
      </c>
      <c r="F51" s="156">
        <v>0</v>
      </c>
      <c r="G51" s="157">
        <v>0</v>
      </c>
      <c r="H51" s="157">
        <v>0</v>
      </c>
      <c r="I51" s="158">
        <v>0</v>
      </c>
      <c r="J51" s="156">
        <v>0</v>
      </c>
      <c r="K51" s="157">
        <v>0</v>
      </c>
      <c r="L51" s="157">
        <v>0</v>
      </c>
      <c r="M51" s="158">
        <v>0</v>
      </c>
      <c r="N51" s="156">
        <v>0</v>
      </c>
      <c r="O51" s="157">
        <v>0</v>
      </c>
      <c r="P51" s="157">
        <v>0</v>
      </c>
      <c r="Q51" s="158">
        <v>0</v>
      </c>
      <c r="R51" s="156">
        <v>0</v>
      </c>
      <c r="S51" s="157">
        <v>0</v>
      </c>
      <c r="T51" s="157">
        <v>0</v>
      </c>
      <c r="U51" s="158">
        <v>0</v>
      </c>
      <c r="V51" s="156">
        <v>0</v>
      </c>
      <c r="W51" s="157">
        <v>0</v>
      </c>
      <c r="X51" s="157">
        <v>0</v>
      </c>
      <c r="Y51" s="158">
        <v>0</v>
      </c>
      <c r="Z51" s="156">
        <v>0</v>
      </c>
      <c r="AA51" s="157">
        <v>0.6</v>
      </c>
      <c r="AB51" s="157">
        <v>0</v>
      </c>
      <c r="AC51" s="158">
        <v>0</v>
      </c>
      <c r="AD51" s="156">
        <v>0</v>
      </c>
      <c r="AE51" s="157">
        <v>0</v>
      </c>
      <c r="AF51" s="157">
        <v>0</v>
      </c>
      <c r="AG51" s="158">
        <v>0</v>
      </c>
      <c r="AH51" s="159">
        <v>0</v>
      </c>
      <c r="AI51" s="157">
        <v>0.6</v>
      </c>
      <c r="AJ51" s="157">
        <v>0</v>
      </c>
      <c r="AK51" s="158">
        <v>0</v>
      </c>
    </row>
    <row r="52" spans="1:37" x14ac:dyDescent="0.35">
      <c r="A52" s="12"/>
      <c r="B52" s="12" t="s">
        <v>126</v>
      </c>
      <c r="C52" s="109" t="s">
        <v>284</v>
      </c>
      <c r="D52" s="430"/>
      <c r="E52" s="431"/>
      <c r="F52" s="156">
        <v>0</v>
      </c>
      <c r="G52" s="157">
        <v>0</v>
      </c>
      <c r="H52" s="157">
        <v>0</v>
      </c>
      <c r="I52" s="158">
        <v>0</v>
      </c>
      <c r="J52" s="156">
        <v>0</v>
      </c>
      <c r="K52" s="157">
        <v>0</v>
      </c>
      <c r="L52" s="157">
        <v>0</v>
      </c>
      <c r="M52" s="158">
        <v>0</v>
      </c>
      <c r="N52" s="156">
        <v>0</v>
      </c>
      <c r="O52" s="157">
        <v>0</v>
      </c>
      <c r="P52" s="157">
        <v>0</v>
      </c>
      <c r="Q52" s="158">
        <v>0</v>
      </c>
      <c r="R52" s="156">
        <v>0</v>
      </c>
      <c r="S52" s="157">
        <v>0</v>
      </c>
      <c r="T52" s="157">
        <v>0</v>
      </c>
      <c r="U52" s="158">
        <v>0</v>
      </c>
      <c r="V52" s="156">
        <v>0</v>
      </c>
      <c r="W52" s="157">
        <v>0</v>
      </c>
      <c r="X52" s="157">
        <v>0</v>
      </c>
      <c r="Y52" s="158">
        <v>0</v>
      </c>
      <c r="Z52" s="156">
        <v>0</v>
      </c>
      <c r="AA52" s="157">
        <v>0.6</v>
      </c>
      <c r="AB52" s="157">
        <v>0</v>
      </c>
      <c r="AC52" s="158">
        <v>0</v>
      </c>
      <c r="AD52" s="156">
        <v>0</v>
      </c>
      <c r="AE52" s="157">
        <v>0</v>
      </c>
      <c r="AF52" s="157">
        <v>0</v>
      </c>
      <c r="AG52" s="158">
        <v>0</v>
      </c>
      <c r="AH52" s="159">
        <v>0</v>
      </c>
      <c r="AI52" s="157">
        <v>0.6</v>
      </c>
      <c r="AJ52" s="157">
        <v>0</v>
      </c>
      <c r="AK52" s="158">
        <v>0</v>
      </c>
    </row>
    <row r="53" spans="1:37" ht="15" customHeight="1" x14ac:dyDescent="0.35">
      <c r="A53" s="161"/>
      <c r="B53" s="12" t="s">
        <v>278</v>
      </c>
      <c r="C53" s="109" t="s">
        <v>284</v>
      </c>
      <c r="D53" s="430" t="s">
        <v>282</v>
      </c>
      <c r="E53" s="431" t="s">
        <v>280</v>
      </c>
      <c r="F53" s="424">
        <v>0</v>
      </c>
      <c r="G53" s="418">
        <v>0</v>
      </c>
      <c r="H53" s="418">
        <v>0</v>
      </c>
      <c r="I53" s="419">
        <v>0</v>
      </c>
      <c r="J53" s="424">
        <v>0</v>
      </c>
      <c r="K53" s="418">
        <v>0</v>
      </c>
      <c r="L53" s="418">
        <v>0</v>
      </c>
      <c r="M53" s="419">
        <v>0</v>
      </c>
      <c r="N53" s="424">
        <v>0</v>
      </c>
      <c r="O53" s="418">
        <v>0</v>
      </c>
      <c r="P53" s="418">
        <v>0</v>
      </c>
      <c r="Q53" s="419">
        <v>0</v>
      </c>
      <c r="R53" s="424">
        <v>0</v>
      </c>
      <c r="S53" s="418">
        <v>0</v>
      </c>
      <c r="T53" s="418">
        <v>0</v>
      </c>
      <c r="U53" s="419">
        <v>0</v>
      </c>
      <c r="V53" s="424">
        <v>0</v>
      </c>
      <c r="W53" s="418">
        <v>0</v>
      </c>
      <c r="X53" s="418">
        <v>0</v>
      </c>
      <c r="Y53" s="419">
        <v>0</v>
      </c>
      <c r="Z53" s="424">
        <v>13.2</v>
      </c>
      <c r="AA53" s="418">
        <v>0</v>
      </c>
      <c r="AB53" s="418">
        <v>0</v>
      </c>
      <c r="AC53" s="419">
        <v>1</v>
      </c>
      <c r="AD53" s="424">
        <v>13.2</v>
      </c>
      <c r="AE53" s="418">
        <v>0</v>
      </c>
      <c r="AF53" s="418">
        <v>0</v>
      </c>
      <c r="AG53" s="419">
        <v>1</v>
      </c>
      <c r="AH53" s="425">
        <v>13.2</v>
      </c>
      <c r="AI53" s="418">
        <v>0</v>
      </c>
      <c r="AJ53" s="418">
        <v>0</v>
      </c>
      <c r="AK53" s="419">
        <v>1</v>
      </c>
    </row>
    <row r="54" spans="1:37" x14ac:dyDescent="0.35">
      <c r="A54" s="161"/>
      <c r="B54" s="12" t="s">
        <v>278</v>
      </c>
      <c r="C54" s="109" t="s">
        <v>284</v>
      </c>
      <c r="D54" s="430"/>
      <c r="E54" s="431"/>
      <c r="F54" s="424"/>
      <c r="G54" s="418"/>
      <c r="H54" s="418"/>
      <c r="I54" s="419"/>
      <c r="J54" s="424"/>
      <c r="K54" s="418"/>
      <c r="L54" s="418"/>
      <c r="M54" s="419"/>
      <c r="N54" s="424"/>
      <c r="O54" s="418"/>
      <c r="P54" s="418"/>
      <c r="Q54" s="419"/>
      <c r="R54" s="424"/>
      <c r="S54" s="418"/>
      <c r="T54" s="418"/>
      <c r="U54" s="419"/>
      <c r="V54" s="424"/>
      <c r="W54" s="418"/>
      <c r="X54" s="418"/>
      <c r="Y54" s="419"/>
      <c r="Z54" s="424"/>
      <c r="AA54" s="418"/>
      <c r="AB54" s="418"/>
      <c r="AC54" s="419"/>
      <c r="AD54" s="424"/>
      <c r="AE54" s="418"/>
      <c r="AF54" s="418"/>
      <c r="AG54" s="419"/>
      <c r="AH54" s="425"/>
      <c r="AI54" s="418"/>
      <c r="AJ54" s="418"/>
      <c r="AK54" s="419"/>
    </row>
    <row r="55" spans="1:37" x14ac:dyDescent="0.35">
      <c r="A55" s="161"/>
      <c r="B55" s="12" t="s">
        <v>278</v>
      </c>
      <c r="C55" s="109" t="s">
        <v>284</v>
      </c>
      <c r="D55" s="430"/>
      <c r="E55" s="431"/>
      <c r="F55" s="424"/>
      <c r="G55" s="418"/>
      <c r="H55" s="418"/>
      <c r="I55" s="419"/>
      <c r="J55" s="424"/>
      <c r="K55" s="418"/>
      <c r="L55" s="418"/>
      <c r="M55" s="419"/>
      <c r="N55" s="424"/>
      <c r="O55" s="418"/>
      <c r="P55" s="418"/>
      <c r="Q55" s="419"/>
      <c r="R55" s="424"/>
      <c r="S55" s="418"/>
      <c r="T55" s="418"/>
      <c r="U55" s="419"/>
      <c r="V55" s="424"/>
      <c r="W55" s="418"/>
      <c r="X55" s="418"/>
      <c r="Y55" s="419"/>
      <c r="Z55" s="424"/>
      <c r="AA55" s="418"/>
      <c r="AB55" s="418"/>
      <c r="AC55" s="419"/>
      <c r="AD55" s="424"/>
      <c r="AE55" s="418"/>
      <c r="AF55" s="418"/>
      <c r="AG55" s="419"/>
      <c r="AH55" s="425"/>
      <c r="AI55" s="418"/>
      <c r="AJ55" s="418"/>
      <c r="AK55" s="419"/>
    </row>
    <row r="56" spans="1:37" ht="38.25" customHeight="1" x14ac:dyDescent="0.35">
      <c r="A56" s="161" t="s">
        <v>277</v>
      </c>
      <c r="B56" s="12" t="s">
        <v>278</v>
      </c>
      <c r="C56" s="109" t="s">
        <v>284</v>
      </c>
      <c r="D56" s="154" t="s">
        <v>280</v>
      </c>
      <c r="E56" s="155" t="s">
        <v>282</v>
      </c>
      <c r="F56" s="156">
        <v>0</v>
      </c>
      <c r="G56" s="157">
        <v>0</v>
      </c>
      <c r="H56" s="157">
        <v>0</v>
      </c>
      <c r="I56" s="158">
        <v>0</v>
      </c>
      <c r="J56" s="156">
        <v>0</v>
      </c>
      <c r="K56" s="157">
        <v>0</v>
      </c>
      <c r="L56" s="157">
        <v>0</v>
      </c>
      <c r="M56" s="158">
        <v>0</v>
      </c>
      <c r="N56" s="156">
        <v>0</v>
      </c>
      <c r="O56" s="157">
        <v>0</v>
      </c>
      <c r="P56" s="157">
        <v>0</v>
      </c>
      <c r="Q56" s="158">
        <v>0</v>
      </c>
      <c r="R56" s="156">
        <v>0</v>
      </c>
      <c r="S56" s="157">
        <v>0</v>
      </c>
      <c r="T56" s="157">
        <v>0</v>
      </c>
      <c r="U56" s="158">
        <v>0</v>
      </c>
      <c r="V56" s="156">
        <v>3.2</v>
      </c>
      <c r="W56" s="157">
        <v>0</v>
      </c>
      <c r="X56" s="157">
        <v>0</v>
      </c>
      <c r="Y56" s="158">
        <v>0</v>
      </c>
      <c r="Z56" s="156">
        <v>0</v>
      </c>
      <c r="AA56" s="157">
        <v>0</v>
      </c>
      <c r="AB56" s="157">
        <v>0</v>
      </c>
      <c r="AC56" s="158">
        <v>0</v>
      </c>
      <c r="AD56" s="156">
        <v>0</v>
      </c>
      <c r="AE56" s="157">
        <v>0</v>
      </c>
      <c r="AF56" s="157">
        <v>0</v>
      </c>
      <c r="AG56" s="158">
        <v>0</v>
      </c>
      <c r="AH56" s="159">
        <v>0</v>
      </c>
      <c r="AI56" s="157">
        <v>0</v>
      </c>
      <c r="AJ56" s="157">
        <v>0</v>
      </c>
      <c r="AK56" s="158">
        <v>0</v>
      </c>
    </row>
    <row r="57" spans="1:37" x14ac:dyDescent="0.35">
      <c r="A57" s="12" t="s">
        <v>277</v>
      </c>
      <c r="B57" s="12" t="s">
        <v>278</v>
      </c>
      <c r="C57" s="109" t="s">
        <v>284</v>
      </c>
      <c r="D57" s="106" t="s">
        <v>280</v>
      </c>
      <c r="E57" s="162" t="s">
        <v>282</v>
      </c>
      <c r="F57" s="156">
        <v>0</v>
      </c>
      <c r="G57" s="157">
        <v>0</v>
      </c>
      <c r="H57" s="157">
        <v>0</v>
      </c>
      <c r="I57" s="158">
        <v>0</v>
      </c>
      <c r="J57" s="156">
        <v>0</v>
      </c>
      <c r="K57" s="157">
        <v>0</v>
      </c>
      <c r="L57" s="157">
        <v>0</v>
      </c>
      <c r="M57" s="158">
        <v>0</v>
      </c>
      <c r="N57" s="156">
        <v>0</v>
      </c>
      <c r="O57" s="157">
        <v>0</v>
      </c>
      <c r="P57" s="157">
        <v>0</v>
      </c>
      <c r="Q57" s="158">
        <v>0</v>
      </c>
      <c r="R57" s="156">
        <v>0</v>
      </c>
      <c r="S57" s="157">
        <v>0</v>
      </c>
      <c r="T57" s="157">
        <v>0</v>
      </c>
      <c r="U57" s="158">
        <v>0</v>
      </c>
      <c r="V57" s="156">
        <v>12</v>
      </c>
      <c r="W57" s="157">
        <v>0</v>
      </c>
      <c r="X57" s="157">
        <v>0</v>
      </c>
      <c r="Y57" s="158">
        <v>0</v>
      </c>
      <c r="Z57" s="156">
        <v>0</v>
      </c>
      <c r="AA57" s="157">
        <v>0</v>
      </c>
      <c r="AB57" s="157">
        <v>0</v>
      </c>
      <c r="AC57" s="158">
        <v>0</v>
      </c>
      <c r="AD57" s="156">
        <v>0</v>
      </c>
      <c r="AE57" s="157">
        <v>0</v>
      </c>
      <c r="AF57" s="157">
        <v>0</v>
      </c>
      <c r="AG57" s="158">
        <v>0</v>
      </c>
      <c r="AH57" s="159">
        <v>0</v>
      </c>
      <c r="AI57" s="157">
        <v>0</v>
      </c>
      <c r="AJ57" s="157">
        <v>0</v>
      </c>
      <c r="AK57" s="158">
        <v>0</v>
      </c>
    </row>
    <row r="58" spans="1:37" x14ac:dyDescent="0.35">
      <c r="A58" s="12" t="s">
        <v>285</v>
      </c>
      <c r="B58" s="12" t="s">
        <v>278</v>
      </c>
      <c r="C58" s="109" t="s">
        <v>284</v>
      </c>
      <c r="D58" s="106" t="s">
        <v>282</v>
      </c>
      <c r="E58" s="162" t="s">
        <v>280</v>
      </c>
      <c r="F58" s="156">
        <v>0</v>
      </c>
      <c r="G58" s="157">
        <v>0</v>
      </c>
      <c r="H58" s="157">
        <v>0</v>
      </c>
      <c r="I58" s="158">
        <v>0</v>
      </c>
      <c r="J58" s="156">
        <v>0</v>
      </c>
      <c r="K58" s="157">
        <v>0</v>
      </c>
      <c r="L58" s="157">
        <v>0</v>
      </c>
      <c r="M58" s="158">
        <v>0</v>
      </c>
      <c r="N58" s="156">
        <v>0</v>
      </c>
      <c r="O58" s="157">
        <v>0</v>
      </c>
      <c r="P58" s="157">
        <v>0</v>
      </c>
      <c r="Q58" s="158">
        <v>0</v>
      </c>
      <c r="R58" s="156">
        <v>0</v>
      </c>
      <c r="S58" s="157">
        <v>0</v>
      </c>
      <c r="T58" s="157">
        <v>0</v>
      </c>
      <c r="U58" s="158">
        <v>0</v>
      </c>
      <c r="V58" s="156">
        <v>0</v>
      </c>
      <c r="W58" s="157">
        <v>0</v>
      </c>
      <c r="X58" s="157">
        <v>0</v>
      </c>
      <c r="Y58" s="158">
        <v>0</v>
      </c>
      <c r="Z58" s="156">
        <v>3.5</v>
      </c>
      <c r="AA58" s="157">
        <v>0</v>
      </c>
      <c r="AB58" s="157">
        <v>0</v>
      </c>
      <c r="AC58" s="158">
        <v>0</v>
      </c>
      <c r="AD58" s="156">
        <v>3.5</v>
      </c>
      <c r="AE58" s="157">
        <v>0</v>
      </c>
      <c r="AF58" s="157">
        <v>0</v>
      </c>
      <c r="AG58" s="158">
        <v>0</v>
      </c>
      <c r="AH58" s="159">
        <v>3.5</v>
      </c>
      <c r="AI58" s="157">
        <v>0</v>
      </c>
      <c r="AJ58" s="157">
        <v>0</v>
      </c>
      <c r="AK58" s="158">
        <v>0</v>
      </c>
    </row>
    <row r="59" spans="1:37" x14ac:dyDescent="0.35">
      <c r="A59" s="12" t="s">
        <v>277</v>
      </c>
      <c r="B59" s="12" t="s">
        <v>278</v>
      </c>
      <c r="C59" s="109" t="s">
        <v>284</v>
      </c>
      <c r="D59" s="156" t="s">
        <v>280</v>
      </c>
      <c r="E59" s="158" t="s">
        <v>282</v>
      </c>
      <c r="F59" s="156">
        <v>0</v>
      </c>
      <c r="G59" s="157">
        <v>0</v>
      </c>
      <c r="H59" s="157">
        <v>0</v>
      </c>
      <c r="I59" s="158">
        <v>0</v>
      </c>
      <c r="J59" s="156">
        <v>0</v>
      </c>
      <c r="K59" s="157">
        <v>0</v>
      </c>
      <c r="L59" s="157">
        <v>0</v>
      </c>
      <c r="M59" s="158">
        <v>0</v>
      </c>
      <c r="N59" s="156">
        <v>0</v>
      </c>
      <c r="O59" s="157">
        <v>0</v>
      </c>
      <c r="P59" s="157">
        <v>0</v>
      </c>
      <c r="Q59" s="158">
        <v>0</v>
      </c>
      <c r="R59" s="156">
        <v>0</v>
      </c>
      <c r="S59" s="157">
        <v>0</v>
      </c>
      <c r="T59" s="157">
        <v>0</v>
      </c>
      <c r="U59" s="158">
        <v>0</v>
      </c>
      <c r="V59" s="156">
        <v>2.2999999999999998</v>
      </c>
      <c r="W59" s="157">
        <v>0</v>
      </c>
      <c r="X59" s="157">
        <v>0</v>
      </c>
      <c r="Y59" s="158">
        <v>0</v>
      </c>
      <c r="Z59" s="156">
        <v>0</v>
      </c>
      <c r="AA59" s="157">
        <v>0</v>
      </c>
      <c r="AB59" s="157">
        <v>0</v>
      </c>
      <c r="AC59" s="158">
        <v>0</v>
      </c>
      <c r="AD59" s="156">
        <v>0</v>
      </c>
      <c r="AE59" s="157">
        <v>0</v>
      </c>
      <c r="AF59" s="157">
        <v>0</v>
      </c>
      <c r="AG59" s="158">
        <v>0</v>
      </c>
      <c r="AH59" s="159">
        <v>0</v>
      </c>
      <c r="AI59" s="157">
        <v>0</v>
      </c>
      <c r="AJ59" s="157">
        <v>0</v>
      </c>
      <c r="AK59" s="158">
        <v>0</v>
      </c>
    </row>
    <row r="60" spans="1:37" x14ac:dyDescent="0.35">
      <c r="A60" s="12"/>
      <c r="B60" s="12" t="s">
        <v>127</v>
      </c>
      <c r="C60" s="109" t="s">
        <v>284</v>
      </c>
      <c r="D60" s="8" t="s">
        <v>280</v>
      </c>
      <c r="E60" s="85" t="s">
        <v>282</v>
      </c>
      <c r="F60" s="156">
        <v>0</v>
      </c>
      <c r="G60" s="157">
        <v>0</v>
      </c>
      <c r="H60" s="157">
        <v>0</v>
      </c>
      <c r="I60" s="158">
        <v>0</v>
      </c>
      <c r="J60" s="156">
        <v>0</v>
      </c>
      <c r="K60" s="157">
        <v>0</v>
      </c>
      <c r="L60" s="157">
        <v>0</v>
      </c>
      <c r="M60" s="158">
        <v>0</v>
      </c>
      <c r="N60" s="156">
        <v>0</v>
      </c>
      <c r="O60" s="157">
        <v>0</v>
      </c>
      <c r="P60" s="157">
        <v>0</v>
      </c>
      <c r="Q60" s="158">
        <v>0</v>
      </c>
      <c r="R60" s="156">
        <v>0</v>
      </c>
      <c r="S60" s="157">
        <v>0</v>
      </c>
      <c r="T60" s="157">
        <v>0</v>
      </c>
      <c r="U60" s="158">
        <v>0</v>
      </c>
      <c r="V60" s="156">
        <v>3.7</v>
      </c>
      <c r="W60" s="157">
        <v>0</v>
      </c>
      <c r="X60" s="157">
        <v>0</v>
      </c>
      <c r="Y60" s="158">
        <v>0</v>
      </c>
      <c r="Z60" s="156">
        <v>0</v>
      </c>
      <c r="AA60" s="157">
        <v>0</v>
      </c>
      <c r="AB60" s="157">
        <v>0</v>
      </c>
      <c r="AC60" s="158">
        <v>0</v>
      </c>
      <c r="AD60" s="156">
        <v>0</v>
      </c>
      <c r="AE60" s="157">
        <v>0</v>
      </c>
      <c r="AF60" s="157">
        <v>0</v>
      </c>
      <c r="AG60" s="158">
        <v>0</v>
      </c>
      <c r="AH60" s="159">
        <v>0</v>
      </c>
      <c r="AI60" s="157">
        <v>0</v>
      </c>
      <c r="AJ60" s="157">
        <v>0</v>
      </c>
      <c r="AK60" s="158">
        <v>0</v>
      </c>
    </row>
    <row r="61" spans="1:37" x14ac:dyDescent="0.35">
      <c r="A61" s="12"/>
      <c r="B61" s="12" t="s">
        <v>126</v>
      </c>
      <c r="C61" s="109" t="s">
        <v>284</v>
      </c>
      <c r="D61" s="8" t="s">
        <v>282</v>
      </c>
      <c r="E61" s="85" t="s">
        <v>280</v>
      </c>
      <c r="F61" s="156">
        <v>0</v>
      </c>
      <c r="G61" s="157">
        <v>0</v>
      </c>
      <c r="H61" s="157">
        <v>0</v>
      </c>
      <c r="I61" s="158">
        <v>0</v>
      </c>
      <c r="J61" s="156">
        <v>0</v>
      </c>
      <c r="K61" s="157">
        <v>0</v>
      </c>
      <c r="L61" s="157">
        <v>0</v>
      </c>
      <c r="M61" s="158">
        <v>0</v>
      </c>
      <c r="N61" s="156">
        <v>0</v>
      </c>
      <c r="O61" s="157">
        <v>0</v>
      </c>
      <c r="P61" s="157">
        <v>0</v>
      </c>
      <c r="Q61" s="158">
        <v>0</v>
      </c>
      <c r="R61" s="156">
        <v>0</v>
      </c>
      <c r="S61" s="157">
        <v>0</v>
      </c>
      <c r="T61" s="157">
        <v>0</v>
      </c>
      <c r="U61" s="158">
        <v>0</v>
      </c>
      <c r="V61" s="156">
        <v>0</v>
      </c>
      <c r="W61" s="157">
        <v>0</v>
      </c>
      <c r="X61" s="157">
        <v>0</v>
      </c>
      <c r="Y61" s="158">
        <v>0</v>
      </c>
      <c r="Z61" s="156">
        <v>0</v>
      </c>
      <c r="AA61" s="157">
        <v>0</v>
      </c>
      <c r="AB61" s="157">
        <v>0</v>
      </c>
      <c r="AC61" s="158">
        <v>0</v>
      </c>
      <c r="AD61" s="156">
        <v>0</v>
      </c>
      <c r="AE61" s="157">
        <v>0</v>
      </c>
      <c r="AF61" s="157">
        <v>0</v>
      </c>
      <c r="AG61" s="158">
        <v>0</v>
      </c>
      <c r="AH61" s="159">
        <v>8.5</v>
      </c>
      <c r="AI61" s="157">
        <v>0</v>
      </c>
      <c r="AJ61" s="157">
        <v>0</v>
      </c>
      <c r="AK61" s="158">
        <v>0</v>
      </c>
    </row>
    <row r="62" spans="1:37" x14ac:dyDescent="0.35">
      <c r="A62" s="12"/>
      <c r="B62" s="12" t="s">
        <v>126</v>
      </c>
      <c r="C62" s="109" t="s">
        <v>284</v>
      </c>
      <c r="D62" s="8" t="s">
        <v>282</v>
      </c>
      <c r="E62" s="85" t="s">
        <v>280</v>
      </c>
      <c r="F62" s="156">
        <v>0</v>
      </c>
      <c r="G62" s="157">
        <v>0</v>
      </c>
      <c r="H62" s="157">
        <v>0</v>
      </c>
      <c r="I62" s="158">
        <v>0</v>
      </c>
      <c r="J62" s="156">
        <v>0</v>
      </c>
      <c r="K62" s="157">
        <v>0</v>
      </c>
      <c r="L62" s="157">
        <v>0</v>
      </c>
      <c r="M62" s="158">
        <v>0</v>
      </c>
      <c r="N62" s="156">
        <v>0</v>
      </c>
      <c r="O62" s="157">
        <v>0</v>
      </c>
      <c r="P62" s="157">
        <v>0</v>
      </c>
      <c r="Q62" s="158">
        <v>0</v>
      </c>
      <c r="R62" s="156">
        <v>0</v>
      </c>
      <c r="S62" s="157">
        <v>0</v>
      </c>
      <c r="T62" s="157">
        <v>0</v>
      </c>
      <c r="U62" s="158">
        <v>0</v>
      </c>
      <c r="V62" s="156">
        <v>0</v>
      </c>
      <c r="W62" s="157">
        <v>0</v>
      </c>
      <c r="X62" s="157">
        <v>0</v>
      </c>
      <c r="Y62" s="158">
        <v>0</v>
      </c>
      <c r="Z62" s="156">
        <v>0</v>
      </c>
      <c r="AA62" s="157">
        <v>0</v>
      </c>
      <c r="AB62" s="157">
        <v>0</v>
      </c>
      <c r="AC62" s="158">
        <v>0</v>
      </c>
      <c r="AD62" s="156">
        <v>0</v>
      </c>
      <c r="AE62" s="157">
        <v>0</v>
      </c>
      <c r="AF62" s="157">
        <v>0</v>
      </c>
      <c r="AG62" s="158">
        <v>0</v>
      </c>
      <c r="AH62" s="159">
        <v>0.5</v>
      </c>
      <c r="AI62" s="157">
        <v>0</v>
      </c>
      <c r="AJ62" s="157">
        <v>0</v>
      </c>
      <c r="AK62" s="158">
        <v>0</v>
      </c>
    </row>
    <row r="63" spans="1:37" x14ac:dyDescent="0.35">
      <c r="A63" s="12"/>
      <c r="B63" s="12" t="s">
        <v>126</v>
      </c>
      <c r="C63" s="109" t="s">
        <v>284</v>
      </c>
      <c r="D63" s="8" t="s">
        <v>282</v>
      </c>
      <c r="E63" s="85" t="s">
        <v>280</v>
      </c>
      <c r="F63" s="156">
        <v>0</v>
      </c>
      <c r="G63" s="157">
        <v>0</v>
      </c>
      <c r="H63" s="157">
        <v>0</v>
      </c>
      <c r="I63" s="158">
        <v>0</v>
      </c>
      <c r="J63" s="156">
        <v>0</v>
      </c>
      <c r="K63" s="157">
        <v>0</v>
      </c>
      <c r="L63" s="157">
        <v>0</v>
      </c>
      <c r="M63" s="158">
        <v>0</v>
      </c>
      <c r="N63" s="156">
        <v>0</v>
      </c>
      <c r="O63" s="157">
        <v>0</v>
      </c>
      <c r="P63" s="157">
        <v>0</v>
      </c>
      <c r="Q63" s="158">
        <v>0</v>
      </c>
      <c r="R63" s="156">
        <v>0</v>
      </c>
      <c r="S63" s="157">
        <v>0</v>
      </c>
      <c r="T63" s="157">
        <v>0</v>
      </c>
      <c r="U63" s="158">
        <v>0</v>
      </c>
      <c r="V63" s="156">
        <v>0</v>
      </c>
      <c r="W63" s="157">
        <v>0</v>
      </c>
      <c r="X63" s="157">
        <v>0</v>
      </c>
      <c r="Y63" s="158">
        <v>0</v>
      </c>
      <c r="Z63" s="156">
        <v>0</v>
      </c>
      <c r="AA63" s="157">
        <v>0</v>
      </c>
      <c r="AB63" s="157">
        <v>0</v>
      </c>
      <c r="AC63" s="158">
        <v>0</v>
      </c>
      <c r="AD63" s="156">
        <v>0</v>
      </c>
      <c r="AE63" s="157">
        <v>0</v>
      </c>
      <c r="AF63" s="157">
        <v>0</v>
      </c>
      <c r="AG63" s="158">
        <v>0</v>
      </c>
      <c r="AH63" s="159">
        <v>4.5</v>
      </c>
      <c r="AI63" s="157">
        <v>0</v>
      </c>
      <c r="AJ63" s="157">
        <v>0</v>
      </c>
      <c r="AK63" s="158">
        <v>0</v>
      </c>
    </row>
    <row r="64" spans="1:37" x14ac:dyDescent="0.35">
      <c r="A64" s="12"/>
      <c r="B64" s="12" t="s">
        <v>127</v>
      </c>
      <c r="C64" s="109" t="s">
        <v>284</v>
      </c>
      <c r="D64" s="8" t="s">
        <v>282</v>
      </c>
      <c r="E64" s="85" t="s">
        <v>280</v>
      </c>
      <c r="F64" s="156">
        <v>0</v>
      </c>
      <c r="G64" s="157">
        <v>0</v>
      </c>
      <c r="H64" s="157">
        <v>0</v>
      </c>
      <c r="I64" s="158">
        <v>0</v>
      </c>
      <c r="J64" s="156">
        <v>0</v>
      </c>
      <c r="K64" s="157">
        <v>0</v>
      </c>
      <c r="L64" s="157">
        <v>0</v>
      </c>
      <c r="M64" s="158">
        <v>0</v>
      </c>
      <c r="N64" s="156">
        <v>0</v>
      </c>
      <c r="O64" s="157">
        <v>0</v>
      </c>
      <c r="P64" s="157">
        <v>0</v>
      </c>
      <c r="Q64" s="158">
        <v>0</v>
      </c>
      <c r="R64" s="156">
        <v>0</v>
      </c>
      <c r="S64" s="157">
        <v>0</v>
      </c>
      <c r="T64" s="157">
        <v>0</v>
      </c>
      <c r="U64" s="158">
        <v>0</v>
      </c>
      <c r="V64" s="156">
        <v>0</v>
      </c>
      <c r="W64" s="157">
        <v>0</v>
      </c>
      <c r="X64" s="157">
        <v>0</v>
      </c>
      <c r="Y64" s="158">
        <v>0</v>
      </c>
      <c r="Z64" s="156">
        <v>2</v>
      </c>
      <c r="AA64" s="157">
        <v>0</v>
      </c>
      <c r="AB64" s="157">
        <v>0</v>
      </c>
      <c r="AC64" s="158">
        <v>0</v>
      </c>
      <c r="AD64" s="156">
        <v>2</v>
      </c>
      <c r="AE64" s="157">
        <v>0</v>
      </c>
      <c r="AF64" s="157">
        <v>0</v>
      </c>
      <c r="AG64" s="158">
        <v>0</v>
      </c>
      <c r="AH64" s="159">
        <v>2</v>
      </c>
      <c r="AI64" s="157">
        <v>0</v>
      </c>
      <c r="AJ64" s="157">
        <v>0</v>
      </c>
      <c r="AK64" s="158">
        <v>0</v>
      </c>
    </row>
    <row r="65" spans="1:37" x14ac:dyDescent="0.35">
      <c r="A65" s="12"/>
      <c r="B65" s="12" t="s">
        <v>127</v>
      </c>
      <c r="C65" s="109" t="s">
        <v>284</v>
      </c>
      <c r="D65" s="8" t="s">
        <v>282</v>
      </c>
      <c r="E65" s="85" t="s">
        <v>280</v>
      </c>
      <c r="F65" s="156">
        <v>0</v>
      </c>
      <c r="G65" s="157">
        <v>0</v>
      </c>
      <c r="H65" s="157">
        <v>0</v>
      </c>
      <c r="I65" s="158">
        <v>0</v>
      </c>
      <c r="J65" s="156">
        <v>0</v>
      </c>
      <c r="K65" s="157">
        <v>0</v>
      </c>
      <c r="L65" s="157">
        <v>0</v>
      </c>
      <c r="M65" s="158">
        <v>0</v>
      </c>
      <c r="N65" s="156">
        <v>0</v>
      </c>
      <c r="O65" s="157">
        <v>0</v>
      </c>
      <c r="P65" s="157">
        <v>0</v>
      </c>
      <c r="Q65" s="158">
        <v>0</v>
      </c>
      <c r="R65" s="156">
        <v>0</v>
      </c>
      <c r="S65" s="157">
        <v>0</v>
      </c>
      <c r="T65" s="157">
        <v>0</v>
      </c>
      <c r="U65" s="158">
        <v>0</v>
      </c>
      <c r="V65" s="156">
        <v>0</v>
      </c>
      <c r="W65" s="157">
        <v>0</v>
      </c>
      <c r="X65" s="157">
        <v>0</v>
      </c>
      <c r="Y65" s="158">
        <v>0</v>
      </c>
      <c r="Z65" s="156">
        <v>14.462</v>
      </c>
      <c r="AA65" s="157">
        <v>0</v>
      </c>
      <c r="AB65" s="157">
        <v>1.7</v>
      </c>
      <c r="AC65" s="158">
        <v>1</v>
      </c>
      <c r="AD65" s="156">
        <v>14.462</v>
      </c>
      <c r="AE65" s="157">
        <v>0</v>
      </c>
      <c r="AF65" s="157">
        <v>1.7</v>
      </c>
      <c r="AG65" s="158">
        <v>1</v>
      </c>
      <c r="AH65" s="159">
        <v>14.462</v>
      </c>
      <c r="AI65" s="157">
        <v>0</v>
      </c>
      <c r="AJ65" s="157">
        <v>1.7</v>
      </c>
      <c r="AK65" s="158">
        <v>1</v>
      </c>
    </row>
    <row r="66" spans="1:37" x14ac:dyDescent="0.35">
      <c r="A66" s="426" t="s">
        <v>286</v>
      </c>
      <c r="B66" s="427" t="s">
        <v>278</v>
      </c>
      <c r="C66" s="109" t="s">
        <v>287</v>
      </c>
      <c r="D66" s="428" t="s">
        <v>280</v>
      </c>
      <c r="E66" s="429" t="s">
        <v>282</v>
      </c>
      <c r="F66" s="424">
        <v>0</v>
      </c>
      <c r="G66" s="418">
        <v>0</v>
      </c>
      <c r="H66" s="418">
        <v>0</v>
      </c>
      <c r="I66" s="419">
        <v>0</v>
      </c>
      <c r="J66" s="424">
        <v>0</v>
      </c>
      <c r="K66" s="418">
        <v>0</v>
      </c>
      <c r="L66" s="418">
        <v>0</v>
      </c>
      <c r="M66" s="419">
        <v>0</v>
      </c>
      <c r="N66" s="424">
        <v>0</v>
      </c>
      <c r="O66" s="418">
        <v>0</v>
      </c>
      <c r="P66" s="418">
        <v>0</v>
      </c>
      <c r="Q66" s="419">
        <v>0</v>
      </c>
      <c r="R66" s="424">
        <v>0</v>
      </c>
      <c r="S66" s="418">
        <v>0</v>
      </c>
      <c r="T66" s="418">
        <v>0</v>
      </c>
      <c r="U66" s="419">
        <v>0</v>
      </c>
      <c r="V66" s="424">
        <v>0</v>
      </c>
      <c r="W66" s="418">
        <v>1</v>
      </c>
      <c r="X66" s="418">
        <v>1</v>
      </c>
      <c r="Y66" s="419">
        <v>0</v>
      </c>
      <c r="Z66" s="424">
        <v>0</v>
      </c>
      <c r="AA66" s="418">
        <v>0</v>
      </c>
      <c r="AB66" s="418">
        <v>0</v>
      </c>
      <c r="AC66" s="419">
        <v>0</v>
      </c>
      <c r="AD66" s="424">
        <v>0</v>
      </c>
      <c r="AE66" s="418">
        <v>0</v>
      </c>
      <c r="AF66" s="418">
        <v>0</v>
      </c>
      <c r="AG66" s="419">
        <v>0</v>
      </c>
      <c r="AH66" s="425">
        <v>0</v>
      </c>
      <c r="AI66" s="418">
        <v>0</v>
      </c>
      <c r="AJ66" s="418">
        <v>0</v>
      </c>
      <c r="AK66" s="419">
        <v>0</v>
      </c>
    </row>
    <row r="67" spans="1:37" x14ac:dyDescent="0.35">
      <c r="A67" s="426"/>
      <c r="B67" s="427"/>
      <c r="C67" s="109" t="s">
        <v>287</v>
      </c>
      <c r="D67" s="428"/>
      <c r="E67" s="429"/>
      <c r="F67" s="424"/>
      <c r="G67" s="418"/>
      <c r="H67" s="418"/>
      <c r="I67" s="419"/>
      <c r="J67" s="424"/>
      <c r="K67" s="418"/>
      <c r="L67" s="418"/>
      <c r="M67" s="419"/>
      <c r="N67" s="424"/>
      <c r="O67" s="418"/>
      <c r="P67" s="418"/>
      <c r="Q67" s="419"/>
      <c r="R67" s="424"/>
      <c r="S67" s="418"/>
      <c r="T67" s="418"/>
      <c r="U67" s="419"/>
      <c r="V67" s="424"/>
      <c r="W67" s="418"/>
      <c r="X67" s="418"/>
      <c r="Y67" s="419"/>
      <c r="Z67" s="424"/>
      <c r="AA67" s="418"/>
      <c r="AB67" s="418"/>
      <c r="AC67" s="419"/>
      <c r="AD67" s="424"/>
      <c r="AE67" s="418"/>
      <c r="AF67" s="418"/>
      <c r="AG67" s="419"/>
      <c r="AH67" s="425"/>
      <c r="AI67" s="418"/>
      <c r="AJ67" s="418"/>
      <c r="AK67" s="419"/>
    </row>
    <row r="68" spans="1:37" x14ac:dyDescent="0.35">
      <c r="A68" s="426"/>
      <c r="B68" s="427"/>
      <c r="C68" s="109" t="s">
        <v>287</v>
      </c>
      <c r="D68" s="428"/>
      <c r="E68" s="429"/>
      <c r="F68" s="424"/>
      <c r="G68" s="418"/>
      <c r="H68" s="418"/>
      <c r="I68" s="419"/>
      <c r="J68" s="424"/>
      <c r="K68" s="418"/>
      <c r="L68" s="418"/>
      <c r="M68" s="419"/>
      <c r="N68" s="424"/>
      <c r="O68" s="418"/>
      <c r="P68" s="418"/>
      <c r="Q68" s="419"/>
      <c r="R68" s="424"/>
      <c r="S68" s="418"/>
      <c r="T68" s="418"/>
      <c r="U68" s="419"/>
      <c r="V68" s="424"/>
      <c r="W68" s="418"/>
      <c r="X68" s="418"/>
      <c r="Y68" s="419"/>
      <c r="Z68" s="424"/>
      <c r="AA68" s="418"/>
      <c r="AB68" s="418"/>
      <c r="AC68" s="419"/>
      <c r="AD68" s="424"/>
      <c r="AE68" s="418"/>
      <c r="AF68" s="418"/>
      <c r="AG68" s="419"/>
      <c r="AH68" s="425"/>
      <c r="AI68" s="418"/>
      <c r="AJ68" s="418"/>
      <c r="AK68" s="419"/>
    </row>
    <row r="69" spans="1:37" x14ac:dyDescent="0.35">
      <c r="A69" s="426"/>
      <c r="B69" s="427"/>
      <c r="C69" s="109" t="s">
        <v>287</v>
      </c>
      <c r="D69" s="428"/>
      <c r="E69" s="429"/>
      <c r="F69" s="424"/>
      <c r="G69" s="418"/>
      <c r="H69" s="418"/>
      <c r="I69" s="419"/>
      <c r="J69" s="424"/>
      <c r="K69" s="418"/>
      <c r="L69" s="418"/>
      <c r="M69" s="419"/>
      <c r="N69" s="424"/>
      <c r="O69" s="418"/>
      <c r="P69" s="418"/>
      <c r="Q69" s="419"/>
      <c r="R69" s="424"/>
      <c r="S69" s="418"/>
      <c r="T69" s="418"/>
      <c r="U69" s="419"/>
      <c r="V69" s="424"/>
      <c r="W69" s="418"/>
      <c r="X69" s="418"/>
      <c r="Y69" s="419"/>
      <c r="Z69" s="424"/>
      <c r="AA69" s="418"/>
      <c r="AB69" s="418"/>
      <c r="AC69" s="419"/>
      <c r="AD69" s="424"/>
      <c r="AE69" s="418"/>
      <c r="AF69" s="418"/>
      <c r="AG69" s="419"/>
      <c r="AH69" s="425"/>
      <c r="AI69" s="418"/>
      <c r="AJ69" s="418"/>
      <c r="AK69" s="419"/>
    </row>
    <row r="70" spans="1:37" x14ac:dyDescent="0.35">
      <c r="A70" s="12"/>
      <c r="B70" s="12" t="s">
        <v>126</v>
      </c>
      <c r="C70" s="109" t="s">
        <v>287</v>
      </c>
      <c r="D70" s="8" t="s">
        <v>282</v>
      </c>
      <c r="E70" s="85" t="s">
        <v>280</v>
      </c>
      <c r="F70" s="156">
        <v>0</v>
      </c>
      <c r="G70" s="157">
        <v>0</v>
      </c>
      <c r="H70" s="157">
        <v>0</v>
      </c>
      <c r="I70" s="158">
        <v>0</v>
      </c>
      <c r="J70" s="156">
        <v>0</v>
      </c>
      <c r="K70" s="157">
        <v>0</v>
      </c>
      <c r="L70" s="157">
        <v>0</v>
      </c>
      <c r="M70" s="158">
        <v>0</v>
      </c>
      <c r="N70" s="156">
        <v>0</v>
      </c>
      <c r="O70" s="157">
        <v>0</v>
      </c>
      <c r="P70" s="157">
        <v>0</v>
      </c>
      <c r="Q70" s="158">
        <v>0</v>
      </c>
      <c r="R70" s="156">
        <v>0</v>
      </c>
      <c r="S70" s="157">
        <v>0</v>
      </c>
      <c r="T70" s="157">
        <v>0</v>
      </c>
      <c r="U70" s="158">
        <v>0</v>
      </c>
      <c r="V70" s="156">
        <v>0</v>
      </c>
      <c r="W70" s="157">
        <v>0</v>
      </c>
      <c r="X70" s="157">
        <v>0</v>
      </c>
      <c r="Y70" s="158">
        <v>0</v>
      </c>
      <c r="Z70" s="156">
        <v>2.7</v>
      </c>
      <c r="AA70" s="157">
        <v>0</v>
      </c>
      <c r="AB70" s="157">
        <v>0</v>
      </c>
      <c r="AC70" s="158">
        <v>0</v>
      </c>
      <c r="AD70" s="156">
        <v>0</v>
      </c>
      <c r="AE70" s="157">
        <v>0</v>
      </c>
      <c r="AF70" s="157">
        <v>0</v>
      </c>
      <c r="AG70" s="158">
        <v>0</v>
      </c>
      <c r="AH70" s="159">
        <v>2.7</v>
      </c>
      <c r="AI70" s="157">
        <v>0</v>
      </c>
      <c r="AJ70" s="157">
        <v>0</v>
      </c>
      <c r="AK70" s="158">
        <v>0</v>
      </c>
    </row>
    <row r="71" spans="1:37" x14ac:dyDescent="0.35">
      <c r="A71" s="12"/>
      <c r="B71" s="12" t="s">
        <v>126</v>
      </c>
      <c r="C71" s="109" t="s">
        <v>287</v>
      </c>
      <c r="D71" s="8" t="s">
        <v>282</v>
      </c>
      <c r="E71" s="85" t="s">
        <v>280</v>
      </c>
      <c r="F71" s="156">
        <v>0</v>
      </c>
      <c r="G71" s="157">
        <v>0</v>
      </c>
      <c r="H71" s="157">
        <v>0</v>
      </c>
      <c r="I71" s="158">
        <v>0</v>
      </c>
      <c r="J71" s="156">
        <v>0</v>
      </c>
      <c r="K71" s="157">
        <v>0</v>
      </c>
      <c r="L71" s="157">
        <v>0</v>
      </c>
      <c r="M71" s="158">
        <v>0</v>
      </c>
      <c r="N71" s="156">
        <v>0</v>
      </c>
      <c r="O71" s="157">
        <v>0</v>
      </c>
      <c r="P71" s="157">
        <v>0</v>
      </c>
      <c r="Q71" s="158">
        <v>0</v>
      </c>
      <c r="R71" s="156">
        <v>0</v>
      </c>
      <c r="S71" s="157">
        <v>0</v>
      </c>
      <c r="T71" s="157">
        <v>0</v>
      </c>
      <c r="U71" s="158">
        <v>0</v>
      </c>
      <c r="V71" s="156">
        <v>0</v>
      </c>
      <c r="W71" s="157">
        <v>0</v>
      </c>
      <c r="X71" s="157">
        <v>0</v>
      </c>
      <c r="Y71" s="158">
        <v>0</v>
      </c>
      <c r="Z71" s="156">
        <v>0</v>
      </c>
      <c r="AA71" s="157">
        <v>0</v>
      </c>
      <c r="AB71" s="157">
        <v>0</v>
      </c>
      <c r="AC71" s="158">
        <v>0</v>
      </c>
      <c r="AD71" s="156">
        <v>0</v>
      </c>
      <c r="AE71" s="157">
        <v>0</v>
      </c>
      <c r="AF71" s="157">
        <v>0</v>
      </c>
      <c r="AG71" s="158">
        <v>0</v>
      </c>
      <c r="AH71" s="159">
        <v>3</v>
      </c>
      <c r="AI71" s="157">
        <v>0</v>
      </c>
      <c r="AJ71" s="157">
        <v>0</v>
      </c>
      <c r="AK71" s="158">
        <v>0</v>
      </c>
    </row>
    <row r="72" spans="1:37" ht="15" thickBot="1" x14ac:dyDescent="0.4">
      <c r="A72" s="12"/>
      <c r="B72" s="12" t="s">
        <v>278</v>
      </c>
      <c r="C72" s="109" t="s">
        <v>287</v>
      </c>
      <c r="D72" s="141" t="s">
        <v>282</v>
      </c>
      <c r="E72" s="102" t="s">
        <v>280</v>
      </c>
      <c r="F72" s="163">
        <v>0</v>
      </c>
      <c r="G72" s="164">
        <v>0</v>
      </c>
      <c r="H72" s="164">
        <v>0</v>
      </c>
      <c r="I72" s="165">
        <v>0</v>
      </c>
      <c r="J72" s="163">
        <v>0</v>
      </c>
      <c r="K72" s="164">
        <v>0</v>
      </c>
      <c r="L72" s="164">
        <v>0</v>
      </c>
      <c r="M72" s="165">
        <v>0</v>
      </c>
      <c r="N72" s="163">
        <v>0</v>
      </c>
      <c r="O72" s="164">
        <v>0</v>
      </c>
      <c r="P72" s="164">
        <v>0</v>
      </c>
      <c r="Q72" s="165">
        <v>0</v>
      </c>
      <c r="R72" s="163">
        <v>0</v>
      </c>
      <c r="S72" s="164">
        <v>0</v>
      </c>
      <c r="T72" s="164">
        <v>0</v>
      </c>
      <c r="U72" s="165">
        <v>0</v>
      </c>
      <c r="V72" s="163">
        <v>0</v>
      </c>
      <c r="W72" s="164">
        <v>0</v>
      </c>
      <c r="X72" s="164">
        <v>0</v>
      </c>
      <c r="Y72" s="165">
        <v>0</v>
      </c>
      <c r="Z72" s="163">
        <v>1.823</v>
      </c>
      <c r="AA72" s="164">
        <v>0</v>
      </c>
      <c r="AB72" s="164">
        <v>0</v>
      </c>
      <c r="AC72" s="165">
        <v>0</v>
      </c>
      <c r="AD72" s="163">
        <v>1.823</v>
      </c>
      <c r="AE72" s="164">
        <v>0</v>
      </c>
      <c r="AF72" s="164">
        <v>0</v>
      </c>
      <c r="AG72" s="165">
        <v>0</v>
      </c>
      <c r="AH72" s="166">
        <v>1.823</v>
      </c>
      <c r="AI72" s="164">
        <v>0</v>
      </c>
      <c r="AJ72" s="164">
        <v>0</v>
      </c>
      <c r="AK72" s="165">
        <v>0</v>
      </c>
    </row>
    <row r="73" spans="1:37" x14ac:dyDescent="0.35">
      <c r="D73" s="420"/>
      <c r="E73" s="420"/>
      <c r="F73" s="167">
        <f t="shared" ref="F73:AK73" si="0">SUM(F29:F72)</f>
        <v>0</v>
      </c>
      <c r="G73" s="167">
        <f t="shared" si="0"/>
        <v>0</v>
      </c>
      <c r="H73" s="167">
        <f t="shared" si="0"/>
        <v>0</v>
      </c>
      <c r="I73" s="167">
        <f t="shared" si="0"/>
        <v>0</v>
      </c>
      <c r="J73" s="167">
        <f t="shared" si="0"/>
        <v>0</v>
      </c>
      <c r="K73" s="167">
        <f t="shared" si="0"/>
        <v>0</v>
      </c>
      <c r="L73" s="167">
        <f t="shared" si="0"/>
        <v>0</v>
      </c>
      <c r="M73" s="167">
        <f t="shared" si="0"/>
        <v>0</v>
      </c>
      <c r="N73" s="167">
        <f t="shared" si="0"/>
        <v>0</v>
      </c>
      <c r="O73" s="167">
        <f t="shared" si="0"/>
        <v>0</v>
      </c>
      <c r="P73" s="167">
        <f t="shared" si="0"/>
        <v>0</v>
      </c>
      <c r="Q73" s="167">
        <f t="shared" si="0"/>
        <v>0</v>
      </c>
      <c r="R73" s="167">
        <f t="shared" si="0"/>
        <v>0</v>
      </c>
      <c r="S73" s="167">
        <f t="shared" si="0"/>
        <v>0</v>
      </c>
      <c r="T73" s="167">
        <f t="shared" si="0"/>
        <v>0</v>
      </c>
      <c r="U73" s="167">
        <f t="shared" si="0"/>
        <v>0</v>
      </c>
      <c r="V73" s="167">
        <f>SUM(V29:V72)</f>
        <v>24.193000000000001</v>
      </c>
      <c r="W73" s="167">
        <f t="shared" si="0"/>
        <v>1</v>
      </c>
      <c r="X73" s="167">
        <f t="shared" si="0"/>
        <v>2</v>
      </c>
      <c r="Y73" s="167">
        <f t="shared" si="0"/>
        <v>0</v>
      </c>
      <c r="Z73" s="167">
        <f t="shared" si="0"/>
        <v>52.881999999999998</v>
      </c>
      <c r="AA73" s="167">
        <f t="shared" si="0"/>
        <v>3.2</v>
      </c>
      <c r="AB73" s="167">
        <f t="shared" si="0"/>
        <v>4.7</v>
      </c>
      <c r="AC73" s="167">
        <f t="shared" si="0"/>
        <v>2.25</v>
      </c>
      <c r="AD73" s="167">
        <f t="shared" si="0"/>
        <v>46.461999999999996</v>
      </c>
      <c r="AE73" s="167">
        <f t="shared" si="0"/>
        <v>2</v>
      </c>
      <c r="AF73" s="167">
        <f t="shared" si="0"/>
        <v>3.7</v>
      </c>
      <c r="AG73" s="167">
        <f t="shared" si="0"/>
        <v>2</v>
      </c>
      <c r="AH73" s="167">
        <f t="shared" si="0"/>
        <v>94.161999999999992</v>
      </c>
      <c r="AI73" s="167">
        <f t="shared" si="0"/>
        <v>4.2</v>
      </c>
      <c r="AJ73" s="167">
        <f t="shared" si="0"/>
        <v>5.7</v>
      </c>
      <c r="AK73" s="167">
        <f t="shared" si="0"/>
        <v>2.25</v>
      </c>
    </row>
    <row r="74" spans="1:37" ht="15" thickBot="1" x14ac:dyDescent="0.4"/>
    <row r="75" spans="1:37" x14ac:dyDescent="0.35">
      <c r="C75" s="168"/>
      <c r="H75" s="168"/>
      <c r="J75" s="421" t="s">
        <v>288</v>
      </c>
      <c r="K75" s="422"/>
      <c r="L75" s="422"/>
      <c r="M75" s="422"/>
      <c r="N75" s="422"/>
      <c r="O75" s="423"/>
      <c r="AC75" s="421" t="s">
        <v>265</v>
      </c>
      <c r="AD75" s="422"/>
      <c r="AE75" s="422"/>
      <c r="AF75" s="422"/>
      <c r="AG75" s="422"/>
      <c r="AH75" s="423"/>
    </row>
    <row r="76" spans="1:37" ht="58" x14ac:dyDescent="0.35">
      <c r="J76" s="169"/>
      <c r="K76" s="128" t="s">
        <v>289</v>
      </c>
      <c r="L76" s="128" t="s">
        <v>290</v>
      </c>
      <c r="M76" s="128" t="s">
        <v>291</v>
      </c>
      <c r="N76" s="128" t="s">
        <v>292</v>
      </c>
      <c r="O76" s="130" t="s">
        <v>293</v>
      </c>
      <c r="AC76" s="127" t="s">
        <v>294</v>
      </c>
      <c r="AD76" s="128" t="s">
        <v>289</v>
      </c>
      <c r="AE76" s="128" t="s">
        <v>290</v>
      </c>
      <c r="AF76" s="128" t="s">
        <v>291</v>
      </c>
      <c r="AG76" s="128" t="s">
        <v>292</v>
      </c>
      <c r="AH76" s="130" t="s">
        <v>293</v>
      </c>
    </row>
    <row r="77" spans="1:37" ht="43.5" x14ac:dyDescent="0.35">
      <c r="J77" s="170" t="s">
        <v>295</v>
      </c>
      <c r="K77" s="171">
        <v>4.7762099999999998</v>
      </c>
      <c r="L77" s="171">
        <v>7.1643100000000004</v>
      </c>
      <c r="M77" s="171">
        <v>9.5524199999999997</v>
      </c>
      <c r="N77" s="171">
        <v>17.910779999999999</v>
      </c>
      <c r="O77" s="172"/>
      <c r="AC77" s="131" t="s">
        <v>296</v>
      </c>
      <c r="AD77" s="132">
        <v>2.6669999999999998</v>
      </c>
      <c r="AE77" s="132">
        <v>4</v>
      </c>
      <c r="AF77" s="132">
        <v>5.33</v>
      </c>
      <c r="AG77" s="132">
        <v>10</v>
      </c>
      <c r="AH77" s="173"/>
    </row>
    <row r="78" spans="1:37" x14ac:dyDescent="0.35">
      <c r="J78" s="169" t="s">
        <v>266</v>
      </c>
      <c r="K78" s="171">
        <f>F73*K77</f>
        <v>0</v>
      </c>
      <c r="L78" s="171">
        <f>G73*L77</f>
        <v>0</v>
      </c>
      <c r="M78" s="171">
        <f>H73*M77</f>
        <v>0</v>
      </c>
      <c r="N78" s="171">
        <f>I73*N77</f>
        <v>0</v>
      </c>
      <c r="O78" s="172">
        <f>SUM(K78:N78)</f>
        <v>0</v>
      </c>
      <c r="AC78" s="135" t="s">
        <v>266</v>
      </c>
      <c r="AD78" s="132">
        <f>V73*AD77</f>
        <v>64.522730999999993</v>
      </c>
      <c r="AE78" s="136">
        <f>W73*AE77</f>
        <v>4</v>
      </c>
      <c r="AF78" s="136">
        <f>X73*AF77</f>
        <v>10.66</v>
      </c>
      <c r="AG78" s="132">
        <f>Y73*AG77</f>
        <v>0</v>
      </c>
      <c r="AH78" s="173">
        <f>SUM(AD78:AG78)</f>
        <v>79.18273099999999</v>
      </c>
    </row>
    <row r="79" spans="1:37" x14ac:dyDescent="0.35">
      <c r="J79" s="169" t="s">
        <v>297</v>
      </c>
      <c r="K79" s="171">
        <f>J73*K77</f>
        <v>0</v>
      </c>
      <c r="L79" s="171">
        <f>K73*L77</f>
        <v>0</v>
      </c>
      <c r="M79" s="171">
        <f>L73*M77</f>
        <v>0</v>
      </c>
      <c r="N79" s="171">
        <f>M73*N77</f>
        <v>0</v>
      </c>
      <c r="O79" s="172">
        <f t="shared" ref="O79:O80" si="1">SUM(K79:N79)</f>
        <v>0</v>
      </c>
      <c r="AC79" s="135" t="s">
        <v>297</v>
      </c>
      <c r="AD79" s="136">
        <f>Z73*AD77</f>
        <v>141.036294</v>
      </c>
      <c r="AE79" s="132">
        <f>AA73*AE77</f>
        <v>12.8</v>
      </c>
      <c r="AF79" s="132">
        <f>AB73*AF77</f>
        <v>25.051000000000002</v>
      </c>
      <c r="AG79" s="132">
        <f>AC73*AG77</f>
        <v>22.5</v>
      </c>
      <c r="AH79" s="173">
        <f>SUM(AD79:AG79)</f>
        <v>201.387294</v>
      </c>
    </row>
    <row r="80" spans="1:37" x14ac:dyDescent="0.35">
      <c r="J80" s="174" t="s">
        <v>268</v>
      </c>
      <c r="K80" s="175">
        <f>N73*K77</f>
        <v>0</v>
      </c>
      <c r="L80" s="175">
        <f>O73*L77</f>
        <v>0</v>
      </c>
      <c r="M80" s="175">
        <f>P73*M77</f>
        <v>0</v>
      </c>
      <c r="N80" s="175">
        <f>Q73*N77</f>
        <v>0</v>
      </c>
      <c r="O80" s="172">
        <f t="shared" si="1"/>
        <v>0</v>
      </c>
      <c r="AC80" s="135" t="s">
        <v>268</v>
      </c>
      <c r="AD80" s="136">
        <f>AD73*AD77</f>
        <v>123.91415399999998</v>
      </c>
      <c r="AE80" s="132">
        <f>AE73*AE77</f>
        <v>8</v>
      </c>
      <c r="AF80" s="132">
        <f>AF73*AF77</f>
        <v>19.721</v>
      </c>
      <c r="AG80" s="132">
        <f>AG73*AG77</f>
        <v>20</v>
      </c>
      <c r="AH80" s="173">
        <f>SUM(AD80:AG80)</f>
        <v>171.635154</v>
      </c>
    </row>
    <row r="81" spans="10:34" ht="15" thickBot="1" x14ac:dyDescent="0.4">
      <c r="J81" s="4" t="s">
        <v>298</v>
      </c>
      <c r="K81" s="176">
        <f>R73*K78</f>
        <v>0</v>
      </c>
      <c r="L81" s="176">
        <f>S73*L77</f>
        <v>0</v>
      </c>
      <c r="M81" s="176">
        <f>T73*M77</f>
        <v>0</v>
      </c>
      <c r="N81" s="176">
        <f>U73*N77</f>
        <v>0</v>
      </c>
      <c r="O81" s="177">
        <f>SUM(K81:N81)</f>
        <v>0</v>
      </c>
      <c r="AC81" s="138" t="s">
        <v>298</v>
      </c>
      <c r="AD81" s="139">
        <f>AH73*AD77</f>
        <v>251.13005399999997</v>
      </c>
      <c r="AE81" s="178">
        <f>AI73*AE77</f>
        <v>16.8</v>
      </c>
      <c r="AF81" s="178">
        <f>AJ73*AF77</f>
        <v>30.381</v>
      </c>
      <c r="AG81" s="178">
        <f>AK73*AG77</f>
        <v>22.5</v>
      </c>
      <c r="AH81" s="179">
        <f>SUM(AD81:AG81)</f>
        <v>320.81105400000001</v>
      </c>
    </row>
    <row r="82" spans="10:34" x14ac:dyDescent="0.35">
      <c r="AC82" s="180"/>
      <c r="AD82" s="180"/>
      <c r="AE82" s="180"/>
      <c r="AF82" s="180"/>
      <c r="AG82" s="180"/>
      <c r="AH82" s="180"/>
    </row>
    <row r="83" spans="10:34" x14ac:dyDescent="0.35">
      <c r="AC83" s="180"/>
      <c r="AD83" s="180"/>
      <c r="AE83" s="180"/>
      <c r="AF83" s="180"/>
      <c r="AG83" s="180"/>
      <c r="AH83" s="180"/>
    </row>
    <row r="84" spans="10:34" x14ac:dyDescent="0.35">
      <c r="AC84" t="s">
        <v>299</v>
      </c>
      <c r="AD84">
        <v>4</v>
      </c>
      <c r="AE84">
        <v>6</v>
      </c>
      <c r="AF84">
        <v>8</v>
      </c>
      <c r="AG84">
        <v>15</v>
      </c>
    </row>
    <row r="85" spans="10:34" x14ac:dyDescent="0.35">
      <c r="AC85" t="s">
        <v>300</v>
      </c>
      <c r="AD85">
        <v>2.6669999999999998</v>
      </c>
      <c r="AE85">
        <v>4</v>
      </c>
      <c r="AF85">
        <v>5.33</v>
      </c>
      <c r="AG85">
        <v>10</v>
      </c>
    </row>
    <row r="86" spans="10:34" x14ac:dyDescent="0.35">
      <c r="AC86" t="s">
        <v>301</v>
      </c>
      <c r="AD86" s="181">
        <f>(AD84-AD85)/AD85</f>
        <v>0.49981252343457078</v>
      </c>
      <c r="AE86" s="181">
        <f>(AE84-AE85)/AE85</f>
        <v>0.5</v>
      </c>
      <c r="AF86" s="181">
        <f t="shared" ref="AF86:AG86" si="2">(AF84-AF85)/AF85</f>
        <v>0.50093808630393999</v>
      </c>
      <c r="AG86" s="181">
        <f t="shared" si="2"/>
        <v>0.5</v>
      </c>
    </row>
    <row r="88" spans="10:34" x14ac:dyDescent="0.35">
      <c r="AC88" s="2" t="s">
        <v>302</v>
      </c>
    </row>
    <row r="89" spans="10:34" x14ac:dyDescent="0.35">
      <c r="AD89" t="s">
        <v>303</v>
      </c>
      <c r="AE89" t="s">
        <v>304</v>
      </c>
    </row>
    <row r="90" spans="10:34" x14ac:dyDescent="0.35">
      <c r="AC90" s="135" t="s">
        <v>297</v>
      </c>
      <c r="AD90">
        <v>11</v>
      </c>
      <c r="AE90">
        <v>3</v>
      </c>
    </row>
    <row r="91" spans="10:34" x14ac:dyDescent="0.35">
      <c r="AC91" s="135" t="s">
        <v>268</v>
      </c>
      <c r="AD91">
        <v>9</v>
      </c>
      <c r="AE91">
        <v>1</v>
      </c>
    </row>
    <row r="92" spans="10:34" ht="15" thickBot="1" x14ac:dyDescent="0.4">
      <c r="AC92" s="138" t="s">
        <v>298</v>
      </c>
      <c r="AD92">
        <v>28</v>
      </c>
      <c r="AE92">
        <v>4</v>
      </c>
    </row>
  </sheetData>
  <mergeCells count="170">
    <mergeCell ref="H29:H31"/>
    <mergeCell ref="I29:I31"/>
    <mergeCell ref="J29:J31"/>
    <mergeCell ref="K29:K31"/>
    <mergeCell ref="L29:L31"/>
    <mergeCell ref="M29:M31"/>
    <mergeCell ref="AH29:AH31"/>
    <mergeCell ref="D26:D28"/>
    <mergeCell ref="E26:E28"/>
    <mergeCell ref="F26:U26"/>
    <mergeCell ref="V26:AK26"/>
    <mergeCell ref="F27:I27"/>
    <mergeCell ref="J27:M27"/>
    <mergeCell ref="N27:Q27"/>
    <mergeCell ref="R27:U27"/>
    <mergeCell ref="V27:Y27"/>
    <mergeCell ref="Z27:AC27"/>
    <mergeCell ref="AD27:AG27"/>
    <mergeCell ref="AH27:AK27"/>
    <mergeCell ref="AI29:AI31"/>
    <mergeCell ref="AJ29:AJ31"/>
    <mergeCell ref="AK29:AK31"/>
    <mergeCell ref="Z29:Z31"/>
    <mergeCell ref="AA29:AA31"/>
    <mergeCell ref="D30:D31"/>
    <mergeCell ref="E30:E31"/>
    <mergeCell ref="D37:D38"/>
    <mergeCell ref="E37:E38"/>
    <mergeCell ref="F29:F31"/>
    <mergeCell ref="G29:G31"/>
    <mergeCell ref="AF29:AF31"/>
    <mergeCell ref="AG29:AG31"/>
    <mergeCell ref="T29:T31"/>
    <mergeCell ref="U29:U31"/>
    <mergeCell ref="V29:V31"/>
    <mergeCell ref="W29:W31"/>
    <mergeCell ref="X29:X31"/>
    <mergeCell ref="Y29:Y31"/>
    <mergeCell ref="N29:N31"/>
    <mergeCell ref="O29:O31"/>
    <mergeCell ref="P29:P31"/>
    <mergeCell ref="Q29:Q31"/>
    <mergeCell ref="R29:R31"/>
    <mergeCell ref="S29:S31"/>
    <mergeCell ref="AC29:AC31"/>
    <mergeCell ref="AD29:AD31"/>
    <mergeCell ref="AE29:AE31"/>
    <mergeCell ref="AB29:AB31"/>
    <mergeCell ref="AH37:AH38"/>
    <mergeCell ref="AI37:AI38"/>
    <mergeCell ref="AJ37:AJ38"/>
    <mergeCell ref="AK37:AK38"/>
    <mergeCell ref="D49:D50"/>
    <mergeCell ref="E49:E50"/>
    <mergeCell ref="V49:V50"/>
    <mergeCell ref="W49:W50"/>
    <mergeCell ref="X49:X50"/>
    <mergeCell ref="AB37:AB38"/>
    <mergeCell ref="AC37:AC38"/>
    <mergeCell ref="AD37:AD38"/>
    <mergeCell ref="AE37:AE38"/>
    <mergeCell ref="AF37:AF38"/>
    <mergeCell ref="AG37:AG38"/>
    <mergeCell ref="V37:V38"/>
    <mergeCell ref="W37:W38"/>
    <mergeCell ref="X37:X38"/>
    <mergeCell ref="Y37:Y38"/>
    <mergeCell ref="Z37:Z38"/>
    <mergeCell ref="AA37:AA38"/>
    <mergeCell ref="AK49:AK50"/>
    <mergeCell ref="AE49:AE50"/>
    <mergeCell ref="D51:D52"/>
    <mergeCell ref="E51:E52"/>
    <mergeCell ref="D53:D55"/>
    <mergeCell ref="E53:E55"/>
    <mergeCell ref="F53:F55"/>
    <mergeCell ref="G53:G55"/>
    <mergeCell ref="H53:H55"/>
    <mergeCell ref="AF49:AF50"/>
    <mergeCell ref="AG49:AG50"/>
    <mergeCell ref="AH49:AH50"/>
    <mergeCell ref="AI49:AI50"/>
    <mergeCell ref="AJ49:AJ50"/>
    <mergeCell ref="Y49:Y50"/>
    <mergeCell ref="Z49:Z50"/>
    <mergeCell ref="AA49:AA50"/>
    <mergeCell ref="AB49:AB50"/>
    <mergeCell ref="AC49:AC50"/>
    <mergeCell ref="AD49:AD50"/>
    <mergeCell ref="Q53:Q55"/>
    <mergeCell ref="R53:R55"/>
    <mergeCell ref="S53:S55"/>
    <mergeCell ref="T53:T55"/>
    <mergeCell ref="I53:I55"/>
    <mergeCell ref="J53:J55"/>
    <mergeCell ref="K53:K55"/>
    <mergeCell ref="L53:L55"/>
    <mergeCell ref="M53:M55"/>
    <mergeCell ref="N53:N55"/>
    <mergeCell ref="AG53:AG55"/>
    <mergeCell ref="AH53:AH55"/>
    <mergeCell ref="AI53:AI55"/>
    <mergeCell ref="AJ53:AJ55"/>
    <mergeCell ref="AK53:AK55"/>
    <mergeCell ref="A66:A69"/>
    <mergeCell ref="B66:B69"/>
    <mergeCell ref="D66:D69"/>
    <mergeCell ref="E66:E69"/>
    <mergeCell ref="AA53:AA55"/>
    <mergeCell ref="AB53:AB55"/>
    <mergeCell ref="AC53:AC55"/>
    <mergeCell ref="AD53:AD55"/>
    <mergeCell ref="AE53:AE55"/>
    <mergeCell ref="AF53:AF55"/>
    <mergeCell ref="U53:U55"/>
    <mergeCell ref="V53:V55"/>
    <mergeCell ref="W53:W55"/>
    <mergeCell ref="X53:X55"/>
    <mergeCell ref="Y53:Y55"/>
    <mergeCell ref="Z53:Z55"/>
    <mergeCell ref="O53:O55"/>
    <mergeCell ref="P53:P55"/>
    <mergeCell ref="M66:M69"/>
    <mergeCell ref="N66:N69"/>
    <mergeCell ref="O66:O69"/>
    <mergeCell ref="P66:P69"/>
    <mergeCell ref="Q66:Q69"/>
    <mergeCell ref="F66:F69"/>
    <mergeCell ref="G66:G69"/>
    <mergeCell ref="H66:H69"/>
    <mergeCell ref="I66:I69"/>
    <mergeCell ref="J66:J69"/>
    <mergeCell ref="K66:K69"/>
    <mergeCell ref="AJ66:AJ69"/>
    <mergeCell ref="AK66:AK69"/>
    <mergeCell ref="D73:E73"/>
    <mergeCell ref="J75:O75"/>
    <mergeCell ref="AC75:AH75"/>
    <mergeCell ref="AD66:AD69"/>
    <mergeCell ref="AE66:AE69"/>
    <mergeCell ref="AF66:AF69"/>
    <mergeCell ref="AG66:AG69"/>
    <mergeCell ref="AH66:AH69"/>
    <mergeCell ref="AI66:AI69"/>
    <mergeCell ref="X66:X69"/>
    <mergeCell ref="Y66:Y69"/>
    <mergeCell ref="Z66:Z69"/>
    <mergeCell ref="AA66:AA69"/>
    <mergeCell ref="AB66:AB69"/>
    <mergeCell ref="AC66:AC69"/>
    <mergeCell ref="R66:R69"/>
    <mergeCell ref="S66:S69"/>
    <mergeCell ref="T66:T69"/>
    <mergeCell ref="U66:U69"/>
    <mergeCell ref="V66:V69"/>
    <mergeCell ref="W66:W69"/>
    <mergeCell ref="L66:L69"/>
    <mergeCell ref="A21:C21"/>
    <mergeCell ref="A20:C20"/>
    <mergeCell ref="A13:C14"/>
    <mergeCell ref="A15:C19"/>
    <mergeCell ref="A9:C9"/>
    <mergeCell ref="A10:C10"/>
    <mergeCell ref="A11:C11"/>
    <mergeCell ref="A12:C12"/>
    <mergeCell ref="A4:C4"/>
    <mergeCell ref="A3:C3"/>
    <mergeCell ref="A8:C8"/>
    <mergeCell ref="A6:C7"/>
    <mergeCell ref="A5:C5"/>
  </mergeCells>
  <pageMargins left="0.7" right="0.7" top="0.75" bottom="0.75" header="0.3" footer="0.3"/>
  <pageSetup orientation="portrait" horizontalDpi="90" verticalDpi="90"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workbookViewId="0">
      <selection activeCell="N19" sqref="N19"/>
    </sheetView>
  </sheetViews>
  <sheetFormatPr defaultRowHeight="14.5" x14ac:dyDescent="0.35"/>
  <cols>
    <col min="1" max="1" width="3.54296875" customWidth="1"/>
    <col min="2" max="2" width="10.81640625" customWidth="1"/>
    <col min="3" max="3" width="25.7265625" bestFit="1" customWidth="1"/>
    <col min="4" max="5" width="19.1796875" customWidth="1"/>
    <col min="6" max="6" width="17" customWidth="1"/>
    <col min="7" max="7" width="11.26953125" customWidth="1"/>
    <col min="8" max="9" width="10.453125" customWidth="1"/>
    <col min="10" max="10" width="9.7265625" customWidth="1"/>
    <col min="11" max="11" width="11" customWidth="1"/>
    <col min="13" max="13" width="11.453125" customWidth="1"/>
    <col min="15" max="15" width="14.26953125" customWidth="1"/>
    <col min="18" max="18" width="19.1796875" bestFit="1" customWidth="1"/>
  </cols>
  <sheetData>
    <row r="1" spans="2:16" x14ac:dyDescent="0.35">
      <c r="B1" s="2" t="s">
        <v>305</v>
      </c>
    </row>
    <row r="2" spans="2:16" ht="15" thickBot="1" x14ac:dyDescent="0.4">
      <c r="O2" s="2" t="s">
        <v>306</v>
      </c>
    </row>
    <row r="3" spans="2:16" x14ac:dyDescent="0.35">
      <c r="B3" s="454"/>
      <c r="C3" s="455"/>
      <c r="D3" s="455"/>
      <c r="E3" s="456"/>
      <c r="F3" s="410">
        <v>2040</v>
      </c>
      <c r="G3" s="411"/>
      <c r="H3" s="411"/>
      <c r="I3" s="411"/>
      <c r="J3" s="411"/>
      <c r="K3" s="411"/>
      <c r="L3" s="411"/>
      <c r="M3" s="412"/>
    </row>
    <row r="4" spans="2:16" x14ac:dyDescent="0.35">
      <c r="B4" s="457"/>
      <c r="C4" s="458"/>
      <c r="D4" s="458"/>
      <c r="E4" s="459"/>
      <c r="F4" s="460" t="s">
        <v>266</v>
      </c>
      <c r="G4" s="414"/>
      <c r="H4" s="414" t="s">
        <v>268</v>
      </c>
      <c r="I4" s="414"/>
      <c r="J4" s="414" t="s">
        <v>297</v>
      </c>
      <c r="K4" s="414"/>
      <c r="L4" s="414" t="s">
        <v>298</v>
      </c>
      <c r="M4" s="461"/>
      <c r="O4" t="s">
        <v>307</v>
      </c>
    </row>
    <row r="5" spans="2:16" ht="29.5" thickBot="1" x14ac:dyDescent="0.4">
      <c r="B5" s="103" t="s">
        <v>308</v>
      </c>
      <c r="C5" s="104" t="s">
        <v>309</v>
      </c>
      <c r="D5" s="104" t="s">
        <v>310</v>
      </c>
      <c r="E5" s="105" t="s">
        <v>311</v>
      </c>
      <c r="F5" s="103" t="s">
        <v>312</v>
      </c>
      <c r="G5" s="110" t="s">
        <v>292</v>
      </c>
      <c r="H5" s="104" t="s">
        <v>312</v>
      </c>
      <c r="I5" s="110" t="s">
        <v>292</v>
      </c>
      <c r="J5" s="104" t="s">
        <v>312</v>
      </c>
      <c r="K5" s="110" t="s">
        <v>292</v>
      </c>
      <c r="L5" s="104" t="s">
        <v>312</v>
      </c>
      <c r="M5" s="111" t="s">
        <v>292</v>
      </c>
      <c r="O5" t="s">
        <v>313</v>
      </c>
    </row>
    <row r="6" spans="2:16" x14ac:dyDescent="0.35">
      <c r="B6" s="112" t="s">
        <v>314</v>
      </c>
      <c r="C6" s="113" t="s">
        <v>315</v>
      </c>
      <c r="D6" s="114" t="s">
        <v>282</v>
      </c>
      <c r="E6" s="115" t="s">
        <v>280</v>
      </c>
      <c r="F6" s="116">
        <v>0</v>
      </c>
      <c r="G6" s="117">
        <v>0</v>
      </c>
      <c r="H6" s="117">
        <v>0</v>
      </c>
      <c r="I6" s="117">
        <v>0</v>
      </c>
      <c r="J6" s="117">
        <v>0</v>
      </c>
      <c r="K6" s="117">
        <v>0</v>
      </c>
      <c r="L6" s="117">
        <v>1</v>
      </c>
      <c r="M6" s="118">
        <v>1</v>
      </c>
      <c r="O6" t="s">
        <v>316</v>
      </c>
    </row>
    <row r="7" spans="2:16" x14ac:dyDescent="0.35">
      <c r="B7" s="112" t="s">
        <v>314</v>
      </c>
      <c r="C7" s="113" t="s">
        <v>317</v>
      </c>
      <c r="D7" s="119" t="s">
        <v>282</v>
      </c>
      <c r="E7" s="120" t="s">
        <v>280</v>
      </c>
      <c r="F7" s="116">
        <v>0</v>
      </c>
      <c r="G7" s="117">
        <v>0</v>
      </c>
      <c r="H7" s="117">
        <v>1</v>
      </c>
      <c r="I7" s="117">
        <v>0</v>
      </c>
      <c r="J7" s="117">
        <v>1</v>
      </c>
      <c r="K7" s="117">
        <v>0</v>
      </c>
      <c r="L7" s="117">
        <v>1</v>
      </c>
      <c r="M7" s="118">
        <v>0</v>
      </c>
      <c r="O7" t="s">
        <v>318</v>
      </c>
    </row>
    <row r="8" spans="2:16" x14ac:dyDescent="0.35">
      <c r="B8" s="112" t="s">
        <v>314</v>
      </c>
      <c r="C8" s="113" t="s">
        <v>319</v>
      </c>
      <c r="D8" s="119" t="s">
        <v>282</v>
      </c>
      <c r="E8" s="120" t="s">
        <v>280</v>
      </c>
      <c r="F8" s="116">
        <v>0</v>
      </c>
      <c r="G8" s="117">
        <v>0</v>
      </c>
      <c r="H8" s="117">
        <v>0</v>
      </c>
      <c r="I8" s="117">
        <v>0</v>
      </c>
      <c r="J8" s="117">
        <v>0</v>
      </c>
      <c r="K8" s="117">
        <v>0</v>
      </c>
      <c r="L8" s="117">
        <v>1</v>
      </c>
      <c r="M8" s="118">
        <v>0</v>
      </c>
      <c r="O8" t="s">
        <v>320</v>
      </c>
    </row>
    <row r="9" spans="2:16" x14ac:dyDescent="0.35">
      <c r="B9" s="112" t="s">
        <v>314</v>
      </c>
      <c r="C9" s="113" t="s">
        <v>321</v>
      </c>
      <c r="D9" s="119" t="s">
        <v>282</v>
      </c>
      <c r="E9" s="120" t="s">
        <v>280</v>
      </c>
      <c r="F9" s="116">
        <v>0</v>
      </c>
      <c r="G9" s="117">
        <v>0</v>
      </c>
      <c r="H9" s="117">
        <v>0</v>
      </c>
      <c r="I9" s="117">
        <v>0</v>
      </c>
      <c r="J9" s="117">
        <v>0</v>
      </c>
      <c r="K9" s="117">
        <v>0</v>
      </c>
      <c r="L9" s="117">
        <v>1</v>
      </c>
      <c r="M9" s="118">
        <v>0</v>
      </c>
      <c r="O9" t="s">
        <v>322</v>
      </c>
    </row>
    <row r="10" spans="2:16" x14ac:dyDescent="0.35">
      <c r="B10" s="112" t="s">
        <v>314</v>
      </c>
      <c r="C10" s="113" t="s">
        <v>323</v>
      </c>
      <c r="D10" s="119" t="s">
        <v>280</v>
      </c>
      <c r="E10" s="120" t="s">
        <v>282</v>
      </c>
      <c r="F10" s="116">
        <v>1</v>
      </c>
      <c r="G10" s="117">
        <v>0</v>
      </c>
      <c r="H10" s="117">
        <v>0</v>
      </c>
      <c r="I10" s="117">
        <v>0</v>
      </c>
      <c r="J10" s="117">
        <v>0</v>
      </c>
      <c r="K10" s="117">
        <v>0</v>
      </c>
      <c r="L10" s="117">
        <v>0</v>
      </c>
      <c r="M10" s="118">
        <v>0</v>
      </c>
      <c r="O10" t="s">
        <v>324</v>
      </c>
    </row>
    <row r="11" spans="2:16" x14ac:dyDescent="0.35">
      <c r="B11" s="448" t="s">
        <v>325</v>
      </c>
      <c r="C11" s="449"/>
      <c r="D11" s="449"/>
      <c r="E11" s="450"/>
      <c r="F11" s="121">
        <f>SUM(F6:F10)*P15</f>
        <v>8.1730689655172419</v>
      </c>
      <c r="G11" s="114">
        <f t="shared" ref="G11:M11" si="0">SUM(G6:G10)</f>
        <v>0</v>
      </c>
      <c r="H11" s="114">
        <f>SUM(H6:H10)*P15</f>
        <v>8.1730689655172419</v>
      </c>
      <c r="I11" s="114">
        <f t="shared" si="0"/>
        <v>0</v>
      </c>
      <c r="J11" s="114">
        <f>SUM(J6:J10)*P15</f>
        <v>8.1730689655172419</v>
      </c>
      <c r="K11" s="114">
        <f t="shared" si="0"/>
        <v>0</v>
      </c>
      <c r="L11" s="114">
        <f>SUM(L6:L10)*P15</f>
        <v>32.692275862068968</v>
      </c>
      <c r="M11" s="115">
        <f t="shared" si="0"/>
        <v>1</v>
      </c>
    </row>
    <row r="12" spans="2:16" x14ac:dyDescent="0.35">
      <c r="B12" s="112" t="s">
        <v>326</v>
      </c>
      <c r="C12" s="113" t="s">
        <v>327</v>
      </c>
      <c r="D12" s="114" t="s">
        <v>282</v>
      </c>
      <c r="E12" s="115" t="s">
        <v>280</v>
      </c>
      <c r="F12" s="116">
        <v>0</v>
      </c>
      <c r="G12" s="117">
        <v>0</v>
      </c>
      <c r="H12" s="117">
        <v>0</v>
      </c>
      <c r="I12" s="117">
        <v>0</v>
      </c>
      <c r="J12" s="117">
        <v>0</v>
      </c>
      <c r="K12" s="117">
        <v>0</v>
      </c>
      <c r="L12" s="117">
        <v>1</v>
      </c>
      <c r="M12" s="118">
        <v>1</v>
      </c>
      <c r="O12" t="s">
        <v>308</v>
      </c>
      <c r="P12" t="s">
        <v>328</v>
      </c>
    </row>
    <row r="13" spans="2:16" x14ac:dyDescent="0.35">
      <c r="B13" s="448" t="s">
        <v>329</v>
      </c>
      <c r="C13" s="449"/>
      <c r="D13" s="449"/>
      <c r="E13" s="450"/>
      <c r="F13" s="121">
        <f>SUM(F12:F12)*P16</f>
        <v>0</v>
      </c>
      <c r="G13" s="114">
        <f>SUM(G12:G12)</f>
        <v>0</v>
      </c>
      <c r="H13" s="114">
        <f>SUM(H12:H12)*P16</f>
        <v>0</v>
      </c>
      <c r="I13" s="114">
        <f>SUM(I12:I12)</f>
        <v>0</v>
      </c>
      <c r="J13" s="114">
        <f>SUM(J12:J12)*P16</f>
        <v>0</v>
      </c>
      <c r="K13" s="114">
        <f>SUM(K12:K12)</f>
        <v>0</v>
      </c>
      <c r="L13" s="114">
        <f>SUM(L12:L12)*P16</f>
        <v>10.904678571428573</v>
      </c>
      <c r="M13" s="115">
        <f>SUM(M12:M12)</f>
        <v>1</v>
      </c>
      <c r="O13" t="s">
        <v>330</v>
      </c>
      <c r="P13" s="122">
        <v>11.982374999999998</v>
      </c>
    </row>
    <row r="14" spans="2:16" x14ac:dyDescent="0.35">
      <c r="B14" s="112" t="s">
        <v>331</v>
      </c>
      <c r="C14" s="113" t="s">
        <v>332</v>
      </c>
      <c r="D14" s="119" t="s">
        <v>282</v>
      </c>
      <c r="E14" s="120" t="s">
        <v>280</v>
      </c>
      <c r="F14" s="116">
        <v>0</v>
      </c>
      <c r="G14" s="117">
        <v>0</v>
      </c>
      <c r="H14" s="117">
        <v>0</v>
      </c>
      <c r="I14" s="117">
        <v>0</v>
      </c>
      <c r="J14" s="117">
        <v>0</v>
      </c>
      <c r="K14" s="117">
        <v>0</v>
      </c>
      <c r="L14" s="117">
        <v>1</v>
      </c>
      <c r="M14" s="118">
        <v>0</v>
      </c>
      <c r="O14" t="s">
        <v>331</v>
      </c>
      <c r="P14" s="122">
        <v>13.792316666666665</v>
      </c>
    </row>
    <row r="15" spans="2:16" x14ac:dyDescent="0.35">
      <c r="B15" s="112" t="s">
        <v>331</v>
      </c>
      <c r="C15" s="113" t="s">
        <v>333</v>
      </c>
      <c r="D15" s="119" t="s">
        <v>282</v>
      </c>
      <c r="E15" s="120" t="s">
        <v>280</v>
      </c>
      <c r="F15" s="116">
        <v>0</v>
      </c>
      <c r="G15" s="117">
        <v>0</v>
      </c>
      <c r="H15" s="117">
        <v>0</v>
      </c>
      <c r="I15" s="117">
        <v>0</v>
      </c>
      <c r="J15" s="117">
        <v>0</v>
      </c>
      <c r="K15" s="117">
        <v>0</v>
      </c>
      <c r="L15" s="117">
        <v>1</v>
      </c>
      <c r="M15" s="118">
        <v>1</v>
      </c>
      <c r="O15" t="s">
        <v>279</v>
      </c>
      <c r="P15" s="122">
        <v>8.1730689655172419</v>
      </c>
    </row>
    <row r="16" spans="2:16" x14ac:dyDescent="0.35">
      <c r="B16" s="448" t="s">
        <v>334</v>
      </c>
      <c r="C16" s="449"/>
      <c r="D16" s="449"/>
      <c r="E16" s="450"/>
      <c r="F16" s="121">
        <f>SUM(F14:F15)*P14</f>
        <v>0</v>
      </c>
      <c r="G16" s="114">
        <f t="shared" ref="G16" si="1">SUM(G11:G15)</f>
        <v>0</v>
      </c>
      <c r="H16" s="114">
        <f>SUM(H14:H15)*P14</f>
        <v>0</v>
      </c>
      <c r="I16" s="114">
        <f t="shared" ref="I16" si="2">SUM(I11:I15)</f>
        <v>0</v>
      </c>
      <c r="J16" s="114">
        <f>SUM(J14:J15)*P14</f>
        <v>0</v>
      </c>
      <c r="K16" s="114">
        <f t="shared" ref="K16" si="3">SUM(K11:K15)</f>
        <v>0</v>
      </c>
      <c r="L16" s="114">
        <f>SUM(L14:L15)*P14</f>
        <v>27.584633333333329</v>
      </c>
      <c r="M16" s="115">
        <f>SUM(M14:M15)</f>
        <v>1</v>
      </c>
      <c r="O16" t="s">
        <v>283</v>
      </c>
      <c r="P16" s="122">
        <v>10.904678571428573</v>
      </c>
    </row>
    <row r="17" spans="2:16" x14ac:dyDescent="0.35">
      <c r="B17" s="112" t="s">
        <v>330</v>
      </c>
      <c r="C17" s="113" t="s">
        <v>335</v>
      </c>
      <c r="D17" s="114" t="s">
        <v>282</v>
      </c>
      <c r="E17" s="115" t="s">
        <v>280</v>
      </c>
      <c r="F17" s="116">
        <v>0</v>
      </c>
      <c r="G17" s="117">
        <v>0</v>
      </c>
      <c r="H17" s="117">
        <v>1</v>
      </c>
      <c r="I17" s="117">
        <v>1</v>
      </c>
      <c r="J17" s="117">
        <v>1</v>
      </c>
      <c r="K17" s="117">
        <v>1</v>
      </c>
      <c r="L17" s="117">
        <v>1</v>
      </c>
      <c r="M17" s="118">
        <v>1</v>
      </c>
      <c r="O17" t="s">
        <v>336</v>
      </c>
      <c r="P17" s="122">
        <v>20.679666666666666</v>
      </c>
    </row>
    <row r="18" spans="2:16" ht="15" thickBot="1" x14ac:dyDescent="0.4">
      <c r="B18" s="451" t="s">
        <v>337</v>
      </c>
      <c r="C18" s="452"/>
      <c r="D18" s="452"/>
      <c r="E18" s="453"/>
      <c r="F18" s="123">
        <f>SUM(F17:F17)*P13</f>
        <v>0</v>
      </c>
      <c r="G18" s="124">
        <f>SUM(G17:G17)</f>
        <v>0</v>
      </c>
      <c r="H18" s="124">
        <f>SUM(H17:H17)*P13</f>
        <v>11.982374999999998</v>
      </c>
      <c r="I18" s="124">
        <f>SUM(I17:I17)</f>
        <v>1</v>
      </c>
      <c r="J18" s="124">
        <f>SUM(J17:J17)*P13</f>
        <v>11.982374999999998</v>
      </c>
      <c r="K18" s="124">
        <f>SUM(K17:K17)</f>
        <v>1</v>
      </c>
      <c r="L18" s="124">
        <f>SUM(L17:L17)*P13</f>
        <v>11.982374999999998</v>
      </c>
      <c r="M18" s="125">
        <f>SUM(M17:M17)</f>
        <v>1</v>
      </c>
      <c r="O18" t="s">
        <v>284</v>
      </c>
      <c r="P18" s="122">
        <v>13.879882352941179</v>
      </c>
    </row>
    <row r="19" spans="2:16" x14ac:dyDescent="0.35">
      <c r="E19" s="122" t="s">
        <v>338</v>
      </c>
      <c r="F19" s="122">
        <f>F11+F13+F16+F18</f>
        <v>8.1730689655172419</v>
      </c>
      <c r="G19" s="122">
        <f t="shared" ref="G19:M19" si="4">G11+G13+G16+G18</f>
        <v>0</v>
      </c>
      <c r="H19" s="122">
        <f t="shared" si="4"/>
        <v>20.155443965517239</v>
      </c>
      <c r="I19" s="122">
        <f t="shared" si="4"/>
        <v>1</v>
      </c>
      <c r="J19" s="122">
        <f t="shared" si="4"/>
        <v>20.155443965517239</v>
      </c>
      <c r="K19" s="122">
        <f t="shared" si="4"/>
        <v>1</v>
      </c>
      <c r="L19" s="122">
        <f>L11+L13+L16+L18</f>
        <v>83.163962766830878</v>
      </c>
      <c r="M19" s="122">
        <f t="shared" si="4"/>
        <v>4</v>
      </c>
      <c r="O19" t="s">
        <v>287</v>
      </c>
      <c r="P19" s="122">
        <v>8.7335624999999997</v>
      </c>
    </row>
    <row r="20" spans="2:16" ht="15" thickBot="1" x14ac:dyDescent="0.4">
      <c r="O20" t="s">
        <v>339</v>
      </c>
      <c r="P20" s="122">
        <v>13.357099999999999</v>
      </c>
    </row>
    <row r="21" spans="2:16" x14ac:dyDescent="0.35">
      <c r="F21" s="446" t="s">
        <v>265</v>
      </c>
      <c r="G21" s="447"/>
      <c r="H21" s="447"/>
      <c r="I21" s="447"/>
      <c r="J21" s="5"/>
      <c r="K21" s="126"/>
      <c r="O21" t="s">
        <v>340</v>
      </c>
      <c r="P21" s="122">
        <v>11.5</v>
      </c>
    </row>
    <row r="22" spans="2:16" ht="43.5" x14ac:dyDescent="0.35">
      <c r="F22" s="127"/>
      <c r="G22" s="128" t="s">
        <v>289</v>
      </c>
      <c r="H22" s="128" t="s">
        <v>292</v>
      </c>
      <c r="I22" s="129" t="s">
        <v>293</v>
      </c>
      <c r="J22" s="127" t="s">
        <v>341</v>
      </c>
      <c r="K22" s="130" t="s">
        <v>342</v>
      </c>
    </row>
    <row r="23" spans="2:16" ht="29" x14ac:dyDescent="0.35">
      <c r="F23" s="131" t="s">
        <v>296</v>
      </c>
      <c r="G23" s="132">
        <v>7.4411800000000001</v>
      </c>
      <c r="H23" s="132">
        <v>27.904419999999998</v>
      </c>
      <c r="I23" s="133"/>
      <c r="J23" s="3"/>
      <c r="K23" s="134"/>
    </row>
    <row r="24" spans="2:16" x14ac:dyDescent="0.35">
      <c r="F24" s="135" t="s">
        <v>266</v>
      </c>
      <c r="G24" s="136">
        <f>F19*$G$23</f>
        <v>60.817277324827593</v>
      </c>
      <c r="H24" s="136">
        <f>G19*H23</f>
        <v>0</v>
      </c>
      <c r="I24" s="137">
        <f>SUM(G24:H24)</f>
        <v>60.817277324827593</v>
      </c>
      <c r="J24" s="8">
        <v>1</v>
      </c>
      <c r="K24" s="85">
        <v>0</v>
      </c>
    </row>
    <row r="25" spans="2:16" x14ac:dyDescent="0.35">
      <c r="F25" s="135" t="s">
        <v>297</v>
      </c>
      <c r="G25" s="136">
        <f>J19*$G$23</f>
        <v>149.98028652732756</v>
      </c>
      <c r="H25" s="136">
        <f>K19*H23</f>
        <v>27.904419999999998</v>
      </c>
      <c r="I25" s="137">
        <f t="shared" ref="I25:I27" si="5">SUM(G25:H25)</f>
        <v>177.88470652732755</v>
      </c>
      <c r="J25" s="8">
        <v>2</v>
      </c>
      <c r="K25" s="85">
        <v>1</v>
      </c>
    </row>
    <row r="26" spans="2:16" x14ac:dyDescent="0.35">
      <c r="F26" s="135" t="s">
        <v>268</v>
      </c>
      <c r="G26" s="136">
        <f>H19*$G$23</f>
        <v>149.98028652732756</v>
      </c>
      <c r="H26" s="136">
        <f>I19*H23</f>
        <v>27.904419999999998</v>
      </c>
      <c r="I26" s="137">
        <f t="shared" si="5"/>
        <v>177.88470652732755</v>
      </c>
      <c r="J26" s="8">
        <v>2</v>
      </c>
      <c r="K26" s="85">
        <v>1</v>
      </c>
    </row>
    <row r="27" spans="2:16" ht="15" thickBot="1" x14ac:dyDescent="0.4">
      <c r="F27" s="138" t="s">
        <v>298</v>
      </c>
      <c r="G27" s="139">
        <f>L19*$G$23</f>
        <v>618.83801646128666</v>
      </c>
      <c r="H27" s="139">
        <f>M19*H23</f>
        <v>111.61767999999999</v>
      </c>
      <c r="I27" s="140">
        <f t="shared" si="5"/>
        <v>730.45569646128661</v>
      </c>
      <c r="J27" s="141">
        <v>8</v>
      </c>
      <c r="K27" s="102">
        <v>4</v>
      </c>
    </row>
    <row r="29" spans="2:16" ht="15" thickBot="1" x14ac:dyDescent="0.4"/>
    <row r="30" spans="2:16" x14ac:dyDescent="0.35">
      <c r="F30" s="446" t="s">
        <v>343</v>
      </c>
      <c r="G30" s="447"/>
      <c r="H30" s="447"/>
      <c r="I30" s="447"/>
      <c r="J30" s="5"/>
      <c r="K30" s="126"/>
    </row>
    <row r="31" spans="2:16" ht="43.5" x14ac:dyDescent="0.35">
      <c r="F31" s="127"/>
      <c r="G31" s="128" t="s">
        <v>289</v>
      </c>
      <c r="H31" s="128" t="s">
        <v>292</v>
      </c>
      <c r="I31" s="129" t="s">
        <v>293</v>
      </c>
      <c r="J31" s="127" t="s">
        <v>341</v>
      </c>
      <c r="K31" s="130" t="s">
        <v>342</v>
      </c>
    </row>
    <row r="32" spans="2:16" ht="29" x14ac:dyDescent="0.35">
      <c r="F32" s="131" t="s">
        <v>296</v>
      </c>
      <c r="G32" s="132">
        <v>6</v>
      </c>
      <c r="H32" s="132">
        <v>15</v>
      </c>
      <c r="I32" s="133"/>
      <c r="J32" s="3"/>
      <c r="K32" s="134"/>
    </row>
    <row r="33" spans="6:11" x14ac:dyDescent="0.35">
      <c r="F33" s="135" t="s">
        <v>266</v>
      </c>
      <c r="G33" s="136">
        <f>F19*$G$23</f>
        <v>60.817277324827593</v>
      </c>
      <c r="H33" s="136">
        <f>G19*H32</f>
        <v>0</v>
      </c>
      <c r="I33" s="137">
        <f>SUM(G33:H33)</f>
        <v>60.817277324827593</v>
      </c>
      <c r="J33" s="8">
        <v>1</v>
      </c>
      <c r="K33" s="85">
        <v>0</v>
      </c>
    </row>
    <row r="34" spans="6:11" x14ac:dyDescent="0.35">
      <c r="F34" s="135" t="s">
        <v>297</v>
      </c>
      <c r="G34" s="136">
        <f>J19*G32</f>
        <v>120.93266379310344</v>
      </c>
      <c r="H34" s="136">
        <f>K19*H32</f>
        <v>15</v>
      </c>
      <c r="I34" s="137">
        <f t="shared" ref="I34:I36" si="6">SUM(G34:H34)</f>
        <v>135.93266379310344</v>
      </c>
      <c r="J34" s="8">
        <v>2</v>
      </c>
      <c r="K34" s="85">
        <v>1</v>
      </c>
    </row>
    <row r="35" spans="6:11" x14ac:dyDescent="0.35">
      <c r="F35" s="135" t="s">
        <v>268</v>
      </c>
      <c r="G35" s="136">
        <f>H19*G32</f>
        <v>120.93266379310344</v>
      </c>
      <c r="H35" s="136">
        <f>I19*H32</f>
        <v>15</v>
      </c>
      <c r="I35" s="137">
        <f t="shared" si="6"/>
        <v>135.93266379310344</v>
      </c>
      <c r="J35" s="8">
        <v>2</v>
      </c>
      <c r="K35" s="85">
        <v>1</v>
      </c>
    </row>
    <row r="36" spans="6:11" ht="15" thickBot="1" x14ac:dyDescent="0.4">
      <c r="F36" s="138" t="s">
        <v>298</v>
      </c>
      <c r="G36" s="139">
        <f>L19*G32</f>
        <v>498.98377660098527</v>
      </c>
      <c r="H36" s="139">
        <f>M19*H32</f>
        <v>60</v>
      </c>
      <c r="I36" s="140">
        <f t="shared" si="6"/>
        <v>558.98377660098527</v>
      </c>
      <c r="J36" s="141">
        <v>8</v>
      </c>
      <c r="K36" s="102">
        <v>4</v>
      </c>
    </row>
  </sheetData>
  <mergeCells count="12">
    <mergeCell ref="B3:E4"/>
    <mergeCell ref="F3:M3"/>
    <mergeCell ref="F4:G4"/>
    <mergeCell ref="H4:I4"/>
    <mergeCell ref="J4:K4"/>
    <mergeCell ref="L4:M4"/>
    <mergeCell ref="F30:I30"/>
    <mergeCell ref="B11:E11"/>
    <mergeCell ref="B13:E13"/>
    <mergeCell ref="B16:E16"/>
    <mergeCell ref="B18:E18"/>
    <mergeCell ref="F21:I21"/>
  </mergeCells>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workbookViewId="0"/>
  </sheetViews>
  <sheetFormatPr defaultRowHeight="14.5" x14ac:dyDescent="0.35"/>
  <cols>
    <col min="1" max="1" width="5.26953125" customWidth="1"/>
  </cols>
  <sheetData>
    <row r="1" spans="2:2" x14ac:dyDescent="0.35">
      <c r="B1" s="2" t="s">
        <v>344</v>
      </c>
    </row>
    <row r="3" spans="2:2" x14ac:dyDescent="0.35">
      <c r="B3" s="23" t="s">
        <v>345</v>
      </c>
    </row>
    <row r="4" spans="2:2" x14ac:dyDescent="0.35">
      <c r="B4" s="24" t="s">
        <v>346</v>
      </c>
    </row>
    <row r="5" spans="2:2" x14ac:dyDescent="0.35">
      <c r="B5" s="24" t="s">
        <v>347</v>
      </c>
    </row>
    <row r="6" spans="2:2" x14ac:dyDescent="0.35">
      <c r="B6" s="24" t="s">
        <v>348</v>
      </c>
    </row>
    <row r="7" spans="2:2" x14ac:dyDescent="0.35">
      <c r="B7" s="24" t="s">
        <v>349</v>
      </c>
    </row>
    <row r="8" spans="2:2" x14ac:dyDescent="0.35">
      <c r="B8" s="24" t="s">
        <v>350</v>
      </c>
    </row>
    <row r="9" spans="2:2" x14ac:dyDescent="0.35">
      <c r="B9" s="23" t="s">
        <v>242</v>
      </c>
    </row>
    <row r="10" spans="2:2" x14ac:dyDescent="0.35">
      <c r="B10" s="24" t="s">
        <v>351</v>
      </c>
    </row>
    <row r="11" spans="2:2" x14ac:dyDescent="0.35">
      <c r="B11" s="24" t="s">
        <v>352</v>
      </c>
    </row>
    <row r="12" spans="2:2" x14ac:dyDescent="0.35">
      <c r="B12" s="24" t="s">
        <v>353</v>
      </c>
    </row>
    <row r="13" spans="2:2" x14ac:dyDescent="0.35">
      <c r="B13" s="25" t="s">
        <v>354</v>
      </c>
    </row>
    <row r="14" spans="2:2" x14ac:dyDescent="0.35">
      <c r="B14" s="26" t="s">
        <v>355</v>
      </c>
    </row>
    <row r="15" spans="2:2" x14ac:dyDescent="0.35">
      <c r="B15" s="26" t="s">
        <v>356</v>
      </c>
    </row>
    <row r="16" spans="2:2" x14ac:dyDescent="0.35">
      <c r="B16" s="26" t="s">
        <v>357</v>
      </c>
    </row>
    <row r="17" spans="2:14" x14ac:dyDescent="0.35">
      <c r="B17" s="26" t="s">
        <v>358</v>
      </c>
    </row>
    <row r="18" spans="2:14" x14ac:dyDescent="0.35">
      <c r="B18" s="26" t="s">
        <v>359</v>
      </c>
    </row>
    <row r="19" spans="2:14" x14ac:dyDescent="0.35">
      <c r="B19" s="27" t="s">
        <v>360</v>
      </c>
    </row>
    <row r="20" spans="2:14" x14ac:dyDescent="0.35">
      <c r="B20" s="27" t="s">
        <v>361</v>
      </c>
    </row>
    <row r="21" spans="2:14" x14ac:dyDescent="0.35">
      <c r="B21" s="27" t="s">
        <v>362</v>
      </c>
    </row>
    <row r="22" spans="2:14" x14ac:dyDescent="0.35">
      <c r="B22" s="26" t="s">
        <v>363</v>
      </c>
    </row>
    <row r="23" spans="2:14" x14ac:dyDescent="0.35">
      <c r="B23" s="27" t="s">
        <v>364</v>
      </c>
    </row>
    <row r="24" spans="2:14" x14ac:dyDescent="0.35">
      <c r="B24" s="25" t="s">
        <v>365</v>
      </c>
    </row>
    <row r="25" spans="2:14" x14ac:dyDescent="0.35">
      <c r="B25" s="26" t="s">
        <v>366</v>
      </c>
    </row>
    <row r="26" spans="2:14" x14ac:dyDescent="0.35">
      <c r="B26" s="26" t="s">
        <v>367</v>
      </c>
    </row>
    <row r="27" spans="2:14" x14ac:dyDescent="0.35">
      <c r="B27" s="26" t="s">
        <v>368</v>
      </c>
    </row>
    <row r="28" spans="2:14" x14ac:dyDescent="0.35">
      <c r="B28" s="24" t="s">
        <v>369</v>
      </c>
    </row>
    <row r="29" spans="2:14" x14ac:dyDescent="0.35">
      <c r="B29" s="24" t="s">
        <v>370</v>
      </c>
      <c r="D29" s="24"/>
    </row>
    <row r="31" spans="2:14" ht="15" thickBot="1" x14ac:dyDescent="0.4"/>
    <row r="32" spans="2:14" x14ac:dyDescent="0.35">
      <c r="B32" s="186" t="s">
        <v>371</v>
      </c>
      <c r="C32" s="67"/>
      <c r="D32" s="67"/>
      <c r="E32" s="67"/>
      <c r="F32" s="411">
        <v>2020</v>
      </c>
      <c r="G32" s="411"/>
      <c r="H32" s="411"/>
      <c r="I32" s="411">
        <v>2025</v>
      </c>
      <c r="J32" s="411"/>
      <c r="K32" s="411"/>
      <c r="L32" s="411">
        <v>2040</v>
      </c>
      <c r="M32" s="411"/>
      <c r="N32" s="412"/>
    </row>
    <row r="33" spans="2:18" x14ac:dyDescent="0.35">
      <c r="B33" s="3"/>
      <c r="C33" s="142"/>
      <c r="D33" s="142"/>
      <c r="E33" s="142"/>
      <c r="F33" s="142" t="s">
        <v>372</v>
      </c>
      <c r="G33" s="142" t="s">
        <v>373</v>
      </c>
      <c r="H33" s="183" t="s">
        <v>374</v>
      </c>
      <c r="I33" s="142" t="s">
        <v>372</v>
      </c>
      <c r="J33" s="142" t="s">
        <v>373</v>
      </c>
      <c r="K33" s="183" t="s">
        <v>374</v>
      </c>
      <c r="L33" s="142" t="s">
        <v>372</v>
      </c>
      <c r="M33" s="142" t="s">
        <v>373</v>
      </c>
      <c r="N33" s="184" t="s">
        <v>374</v>
      </c>
    </row>
    <row r="34" spans="2:18" x14ac:dyDescent="0.35">
      <c r="B34" s="462" t="s">
        <v>10</v>
      </c>
      <c r="C34" s="463"/>
      <c r="D34" s="463"/>
      <c r="E34" s="463"/>
      <c r="F34" s="142">
        <v>3</v>
      </c>
      <c r="G34" s="142">
        <v>33</v>
      </c>
      <c r="H34" s="142">
        <v>50</v>
      </c>
      <c r="I34" s="142">
        <v>1</v>
      </c>
      <c r="J34" s="142">
        <v>9</v>
      </c>
      <c r="K34" s="142">
        <v>14</v>
      </c>
      <c r="L34" s="142">
        <v>20</v>
      </c>
      <c r="M34" s="142">
        <v>210</v>
      </c>
      <c r="N34" s="134">
        <v>302</v>
      </c>
      <c r="P34">
        <f>M34/L34</f>
        <v>10.5</v>
      </c>
      <c r="R34">
        <f>J34/I34</f>
        <v>9</v>
      </c>
    </row>
    <row r="35" spans="2:18" x14ac:dyDescent="0.35">
      <c r="B35" s="462" t="s">
        <v>11</v>
      </c>
      <c r="C35" s="463"/>
      <c r="D35" s="463"/>
      <c r="E35" s="463"/>
      <c r="F35" s="142">
        <v>4</v>
      </c>
      <c r="G35" s="142">
        <v>42</v>
      </c>
      <c r="H35" s="142">
        <v>63</v>
      </c>
      <c r="I35" s="142">
        <v>2</v>
      </c>
      <c r="J35" s="142">
        <v>23</v>
      </c>
      <c r="K35" s="142">
        <v>35</v>
      </c>
      <c r="L35" s="142">
        <v>41</v>
      </c>
      <c r="M35" s="142">
        <v>430</v>
      </c>
      <c r="N35" s="134">
        <v>611</v>
      </c>
      <c r="P35">
        <f t="shared" ref="P35:P36" si="0">M35/L35</f>
        <v>10.487804878048781</v>
      </c>
      <c r="R35">
        <f>J35/I35</f>
        <v>11.5</v>
      </c>
    </row>
    <row r="36" spans="2:18" ht="15" thickBot="1" x14ac:dyDescent="0.4">
      <c r="B36" s="464" t="s">
        <v>12</v>
      </c>
      <c r="C36" s="465"/>
      <c r="D36" s="465"/>
      <c r="E36" s="465"/>
      <c r="F36" s="185">
        <v>4</v>
      </c>
      <c r="G36" s="185">
        <v>47</v>
      </c>
      <c r="H36" s="185">
        <v>71</v>
      </c>
      <c r="I36" s="185">
        <v>9</v>
      </c>
      <c r="J36" s="185">
        <v>89</v>
      </c>
      <c r="K36" s="185">
        <v>134</v>
      </c>
      <c r="L36" s="185">
        <v>107</v>
      </c>
      <c r="M36" s="185">
        <v>1131</v>
      </c>
      <c r="N36" s="83">
        <v>1564</v>
      </c>
      <c r="P36">
        <f t="shared" si="0"/>
        <v>10.570093457943925</v>
      </c>
      <c r="R36">
        <f>J36/I36</f>
        <v>9.8888888888888893</v>
      </c>
    </row>
  </sheetData>
  <mergeCells count="6">
    <mergeCell ref="L32:N32"/>
    <mergeCell ref="B34:E34"/>
    <mergeCell ref="B35:E35"/>
    <mergeCell ref="B36:E36"/>
    <mergeCell ref="F32:H32"/>
    <mergeCell ref="I32:K32"/>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2025-01-31T08:00:00+00:00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3407165-98B7-4955-9D86-984B802E29D4}"/>
</file>

<file path=customXml/itemProps2.xml><?xml version="1.0" encoding="utf-8"?>
<ds:datastoreItem xmlns:ds="http://schemas.openxmlformats.org/officeDocument/2006/customXml" ds:itemID="{D68B3B1A-4CA4-40B3-A2AF-EBF8010188E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7F66AD7-60FC-4774-BD31-781DEF88567C}">
  <ds:schemaRefs>
    <ds:schemaRef ds:uri="http://schemas.microsoft.com/sharepoint/v3/contenttype/forms"/>
  </ds:schemaRefs>
</ds:datastoreItem>
</file>

<file path=customXml/itemProps4.xml><?xml version="1.0" encoding="utf-8"?>
<ds:datastoreItem xmlns:ds="http://schemas.openxmlformats.org/officeDocument/2006/customXml" ds:itemID="{F0FD80D9-F93B-4049-BDB2-04FBDE6A8D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2023 Update</vt:lpstr>
      <vt:lpstr>Electric - Peaks</vt:lpstr>
      <vt:lpstr>2023 Overall Summary</vt:lpstr>
      <vt:lpstr>Costs-Updated</vt:lpstr>
      <vt:lpstr>Incremental Load Growth</vt:lpstr>
      <vt:lpstr>20-Year Summary Costs</vt:lpstr>
      <vt:lpstr>Transmission Summary</vt:lpstr>
      <vt:lpstr>Substation Transmission Summary</vt:lpstr>
      <vt:lpstr>Dist Transformer Summary</vt:lpstr>
      <vt:lpstr>Distribution Assumptions</vt:lpstr>
      <vt:lpstr>Overall Summary</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Ewry, Eleanor - Transmission</dc:creator>
  <cp:keywords/>
  <dc:description/>
  <cp:lastModifiedBy>Vu, Cindy - Tamazari</cp:lastModifiedBy>
  <cp:revision/>
  <dcterms:created xsi:type="dcterms:W3CDTF">2021-06-01T02:47:09Z</dcterms:created>
  <dcterms:modified xsi:type="dcterms:W3CDTF">2023-12-05T18:55:50Z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ies>
</file>